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4000" windowHeight="9735" tabRatio="761" firstSheet="69" activeTab="71"/>
  </bookViews>
  <sheets>
    <sheet name="Hoja1" sheetId="1" r:id="rId1"/>
    <sheet name="Hoja2" sheetId="2" r:id="rId2"/>
    <sheet name="Sheet4" sheetId="7" r:id="rId3"/>
    <sheet name="Sheet5" sheetId="8" r:id="rId4"/>
    <sheet name="Hoja3" sheetId="3" r:id="rId5"/>
    <sheet name="Febrero" sheetId="4" r:id="rId6"/>
    <sheet name="Marzo" sheetId="5" r:id="rId7"/>
    <sheet name="Abril" sheetId="6" r:id="rId8"/>
    <sheet name="Mayo" sheetId="9" r:id="rId9"/>
    <sheet name="Junio" sheetId="10" r:id="rId10"/>
    <sheet name="Julio" sheetId="11" r:id="rId11"/>
    <sheet name="Agosto" sheetId="12" r:id="rId12"/>
    <sheet name="Setiembre" sheetId="13" r:id="rId13"/>
    <sheet name="Octubre" sheetId="14" r:id="rId14"/>
    <sheet name="Noviembre" sheetId="15" r:id="rId15"/>
    <sheet name="Diciembre" sheetId="16" r:id="rId16"/>
    <sheet name="Enero" sheetId="17" r:id="rId17"/>
    <sheet name="2012-Febrero" sheetId="18" r:id="rId18"/>
    <sheet name="2012-Marzo" sheetId="19" r:id="rId19"/>
    <sheet name="2012-Abril" sheetId="20" r:id="rId20"/>
    <sheet name="2012-Mayo" sheetId="21" r:id="rId21"/>
    <sheet name="2012-Junio" sheetId="22" r:id="rId22"/>
    <sheet name="2012-Julio" sheetId="23" r:id="rId23"/>
    <sheet name="2012-Agosto" sheetId="24" r:id="rId24"/>
    <sheet name="2012-Setiembre" sheetId="25" r:id="rId25"/>
    <sheet name="pagodelbcb" sheetId="26" r:id="rId26"/>
    <sheet name="2012-octubre" sheetId="27" r:id="rId27"/>
    <sheet name="2012-Noviembre" sheetId="29" r:id="rId28"/>
    <sheet name="2012-Diciembre" sheetId="30" r:id="rId29"/>
    <sheet name="2013-Enero" sheetId="28" r:id="rId30"/>
    <sheet name="2013-Febrero" sheetId="33" r:id="rId31"/>
    <sheet name="2013-Marzo" sheetId="34" r:id="rId32"/>
    <sheet name="2013-abril" sheetId="41" r:id="rId33"/>
    <sheet name="2013-mayo" sheetId="40" r:id="rId34"/>
    <sheet name="2013-junio" sheetId="42" r:id="rId35"/>
    <sheet name="2013-julio" sheetId="39" r:id="rId36"/>
    <sheet name="2013-agosto" sheetId="38" r:id="rId37"/>
    <sheet name="2013-setiembre" sheetId="47" r:id="rId38"/>
    <sheet name="2013-OCTUBRE" sheetId="46" r:id="rId39"/>
    <sheet name="2013-NOVIEMBRE" sheetId="45" r:id="rId40"/>
    <sheet name="2013-DICIEMBRE" sheetId="44" r:id="rId41"/>
    <sheet name="2014-ENERO" sheetId="51" r:id="rId42"/>
    <sheet name="2014-FEBRERO" sheetId="50" r:id="rId43"/>
    <sheet name="2014-MARZO" sheetId="48" r:id="rId44"/>
    <sheet name="2014-ABRIL" sheetId="52" r:id="rId45"/>
    <sheet name="2014-MAYO" sheetId="53" r:id="rId46"/>
    <sheet name="2014-JUNIO" sheetId="56" r:id="rId47"/>
    <sheet name="2014-JULIO" sheetId="57" r:id="rId48"/>
    <sheet name="2014-AGOSTO" sheetId="60" r:id="rId49"/>
    <sheet name="2014-SETIEMBRE" sheetId="64" r:id="rId50"/>
    <sheet name="2014-OCTUBRE" sheetId="68" r:id="rId51"/>
    <sheet name="2014-NOVIEMBRE" sheetId="69" r:id="rId52"/>
    <sheet name="2014-DICIEMBRE" sheetId="70" r:id="rId53"/>
    <sheet name="2015-ENERO" sheetId="72" r:id="rId54"/>
    <sheet name="2015-FEBRERO" sheetId="74" r:id="rId55"/>
    <sheet name="2015-MARZO" sheetId="76" r:id="rId56"/>
    <sheet name="2015-ABRIL" sheetId="79" r:id="rId57"/>
    <sheet name="2015-MAYO" sheetId="81" r:id="rId58"/>
    <sheet name="2015-JUNIO" sheetId="82" r:id="rId59"/>
    <sheet name="2015-JULIO" sheetId="84" r:id="rId60"/>
    <sheet name="2015-AGOSTO" sheetId="89" r:id="rId61"/>
    <sheet name="2015-SETIEMBRE" sheetId="90" r:id="rId62"/>
    <sheet name="2015-OCTUBRE" sheetId="91" r:id="rId63"/>
    <sheet name="2015-NOVIEMBRE" sheetId="101" r:id="rId64"/>
    <sheet name="2015-DICIEMBRE" sheetId="100" r:id="rId65"/>
    <sheet name="2016-ENERO" sheetId="102" r:id="rId66"/>
    <sheet name="2016-FEBRERO" sheetId="93" r:id="rId67"/>
    <sheet name="2016-MARZO" sheetId="96" r:id="rId68"/>
    <sheet name="2016-ABRIL" sheetId="97" r:id="rId69"/>
    <sheet name="2016-MAYO" sheetId="98" r:id="rId70"/>
    <sheet name="2016-JUNIO" sheetId="116" r:id="rId71"/>
    <sheet name="2016-JULIO" sheetId="105" r:id="rId72"/>
    <sheet name="2016-AGOSTO" sheetId="119" r:id="rId73"/>
    <sheet name="2016-SETIEMBRE" sheetId="118" r:id="rId74"/>
    <sheet name="Hoja28" sheetId="117" r:id="rId75"/>
    <sheet name="Hoja25" sheetId="111" r:id="rId76"/>
    <sheet name="Hoja26" sheetId="112" r:id="rId77"/>
    <sheet name="Hoja27" sheetId="113" r:id="rId78"/>
    <sheet name="Viaje decameron punta sal" sheetId="121" r:id="rId79"/>
    <sheet name="Hoja24" sheetId="106" r:id="rId80"/>
    <sheet name="GASTOS MENSUALES DE HECTOR" sheetId="99" r:id="rId81"/>
    <sheet name="Paseo SRQV20151010" sheetId="95" r:id="rId82"/>
    <sheet name="Saneamiento chacracerro" sheetId="94" r:id="rId83"/>
    <sheet name="Misa de mama 2 anios" sheetId="92" r:id="rId84"/>
    <sheet name="Cumple 70 AÑOS DE PAPA" sheetId="86" r:id="rId85"/>
    <sheet name="Prestamos de Papa para el ingle" sheetId="88" r:id="rId86"/>
    <sheet name="Deuda Charo 2016-Junio" sheetId="120" r:id="rId87"/>
    <sheet name="Deuda Charo 2016-Mayo" sheetId="114" r:id="rId88"/>
    <sheet name="Deuda Charo 2016-Abril" sheetId="109" r:id="rId89"/>
    <sheet name="Deuda Charo 2016-Marzo" sheetId="108" r:id="rId90"/>
    <sheet name="Deuda de carlos 2016-mayo" sheetId="115" r:id="rId91"/>
    <sheet name="Deuda de carlos 2016-abril" sheetId="110" r:id="rId92"/>
    <sheet name="Deuda de carlos 2016-Marzo" sheetId="107" r:id="rId93"/>
    <sheet name="Deuda de carlos2" sheetId="104" r:id="rId94"/>
    <sheet name="Deuda de carlos" sheetId="85" r:id="rId95"/>
    <sheet name="Deuda de Charito" sheetId="103" r:id="rId96"/>
    <sheet name="Deuda de sanitario sala Carlos" sheetId="87" r:id="rId97"/>
    <sheet name="Deuda de sanitario sala Charo" sheetId="83" r:id="rId98"/>
    <sheet name="Hoja22" sheetId="80" r:id="rId99"/>
    <sheet name="Hoja21" sheetId="78" r:id="rId100"/>
    <sheet name="Hoja20" sheetId="77" r:id="rId101"/>
    <sheet name="Hoja19" sheetId="75" r:id="rId102"/>
    <sheet name="Hoja18" sheetId="73" r:id="rId103"/>
    <sheet name="Hoja14" sheetId="71" r:id="rId104"/>
    <sheet name="Hoja17" sheetId="67" r:id="rId105"/>
    <sheet name="Hoja16" sheetId="66" r:id="rId106"/>
    <sheet name="Hoja15" sheetId="65" r:id="rId107"/>
    <sheet name="Hoja13" sheetId="63" r:id="rId108"/>
    <sheet name="Hoja12" sheetId="62" r:id="rId109"/>
    <sheet name="Hoja11" sheetId="61" r:id="rId110"/>
    <sheet name="Hoja10" sheetId="59" r:id="rId111"/>
    <sheet name="Hoja9" sheetId="58" r:id="rId112"/>
    <sheet name="Hoja8" sheetId="55" r:id="rId113"/>
    <sheet name="Hoja7" sheetId="54" r:id="rId114"/>
    <sheet name="Hoja" sheetId="36" r:id="rId115"/>
    <sheet name="Hoja6" sheetId="32" r:id="rId116"/>
    <sheet name="Hoja4" sheetId="37" r:id="rId117"/>
    <sheet name="Hoja5" sheetId="43" r:id="rId118"/>
  </sheets>
  <calcPr calcId="152511"/>
</workbook>
</file>

<file path=xl/calcChain.xml><?xml version="1.0" encoding="utf-8"?>
<calcChain xmlns="http://schemas.openxmlformats.org/spreadsheetml/2006/main">
  <c r="F6" i="105" l="1"/>
  <c r="C34" i="105"/>
  <c r="C2" i="105"/>
  <c r="L19" i="105" l="1"/>
  <c r="J16" i="105"/>
  <c r="C6" i="121" l="1"/>
  <c r="C5" i="121"/>
  <c r="B6" i="121"/>
  <c r="B5" i="121"/>
  <c r="C4" i="121"/>
  <c r="F7" i="121" s="1"/>
  <c r="C3" i="121"/>
  <c r="E7" i="121" s="1"/>
  <c r="B4" i="121"/>
  <c r="B3" i="121"/>
  <c r="J11" i="105"/>
  <c r="I11" i="105"/>
  <c r="C8" i="105"/>
  <c r="I39" i="118" l="1"/>
  <c r="B38" i="118"/>
  <c r="I41" i="118" s="1"/>
  <c r="G37" i="118"/>
  <c r="G36" i="118"/>
  <c r="C29" i="118"/>
  <c r="B29" i="118"/>
  <c r="C24" i="118"/>
  <c r="B24" i="118"/>
  <c r="C23" i="118"/>
  <c r="B23" i="118"/>
  <c r="C22" i="118"/>
  <c r="C21" i="118"/>
  <c r="B33" i="118" s="1"/>
  <c r="B21" i="118"/>
  <c r="C20" i="118"/>
  <c r="B20" i="118"/>
  <c r="B18" i="118"/>
  <c r="H39" i="118"/>
  <c r="M9" i="118"/>
  <c r="B9" i="118"/>
  <c r="M4" i="118" s="1"/>
  <c r="N7" i="118"/>
  <c r="L7" i="118"/>
  <c r="J7" i="118"/>
  <c r="L4" i="118"/>
  <c r="B3" i="118"/>
  <c r="B2" i="118"/>
  <c r="B36" i="118" s="1"/>
  <c r="I40" i="119"/>
  <c r="B39" i="119"/>
  <c r="I42" i="119" s="1"/>
  <c r="G37" i="119"/>
  <c r="C30" i="119"/>
  <c r="B30" i="119"/>
  <c r="C25" i="119"/>
  <c r="B25" i="119"/>
  <c r="C24" i="119"/>
  <c r="B24" i="119"/>
  <c r="C23" i="119"/>
  <c r="C22" i="119"/>
  <c r="B22" i="119"/>
  <c r="C21" i="119"/>
  <c r="B21" i="119"/>
  <c r="B19" i="119"/>
  <c r="B16" i="119"/>
  <c r="M9" i="119"/>
  <c r="B9" i="119"/>
  <c r="M4" i="119" s="1"/>
  <c r="N7" i="119"/>
  <c r="L7" i="119"/>
  <c r="J7" i="119"/>
  <c r="B3" i="119"/>
  <c r="B2" i="119"/>
  <c r="C27" i="105"/>
  <c r="F10" i="105"/>
  <c r="F9" i="105"/>
  <c r="C31" i="105"/>
  <c r="E14" i="120"/>
  <c r="E12" i="120"/>
  <c r="E11" i="120"/>
  <c r="B37" i="118" l="1"/>
  <c r="B34" i="118"/>
  <c r="F6" i="118" s="1"/>
  <c r="G38" i="119"/>
  <c r="L4" i="119"/>
  <c r="B37" i="119"/>
  <c r="B38" i="119" s="1"/>
  <c r="B34" i="119"/>
  <c r="H40" i="119"/>
  <c r="C32" i="105"/>
  <c r="C7" i="105"/>
  <c r="C6" i="105"/>
  <c r="C30" i="105"/>
  <c r="B35" i="119" l="1"/>
  <c r="F6" i="119" s="1"/>
  <c r="C14" i="105"/>
  <c r="G4" i="120" l="1"/>
  <c r="B5" i="120"/>
  <c r="F3" i="120"/>
  <c r="B2" i="120" s="1"/>
  <c r="C17" i="120"/>
  <c r="C25" i="105"/>
  <c r="C24" i="105"/>
  <c r="C23" i="105"/>
  <c r="C22" i="105"/>
  <c r="C21" i="105"/>
  <c r="C17" i="105"/>
  <c r="C18" i="105"/>
  <c r="C19" i="105"/>
  <c r="C16" i="105"/>
  <c r="C28" i="105"/>
  <c r="C11" i="105"/>
  <c r="C10" i="105"/>
  <c r="C9" i="105"/>
  <c r="F6" i="116"/>
  <c r="C13" i="105"/>
  <c r="C3" i="105"/>
  <c r="C22" i="116"/>
  <c r="C36" i="116"/>
  <c r="B12" i="120" l="1"/>
  <c r="C18" i="120"/>
  <c r="C19" i="120" s="1"/>
  <c r="B2" i="105"/>
  <c r="I42" i="105"/>
  <c r="B41" i="105"/>
  <c r="G40" i="105" s="1"/>
  <c r="G39" i="105"/>
  <c r="B30" i="105"/>
  <c r="B25" i="105"/>
  <c r="B24" i="105"/>
  <c r="B22" i="105"/>
  <c r="B21" i="105"/>
  <c r="B19" i="105"/>
  <c r="B16" i="105"/>
  <c r="H42" i="105" s="1"/>
  <c r="M9" i="105"/>
  <c r="B9" i="105"/>
  <c r="N7" i="105"/>
  <c r="L7" i="105"/>
  <c r="J7" i="105"/>
  <c r="L4" i="105"/>
  <c r="B3" i="105"/>
  <c r="B36" i="105" s="1"/>
  <c r="I44" i="105" l="1"/>
  <c r="M4" i="105"/>
  <c r="B39" i="105"/>
  <c r="C16" i="116"/>
  <c r="B40" i="105" l="1"/>
  <c r="B37" i="105"/>
  <c r="F11" i="116"/>
  <c r="N8" i="116"/>
  <c r="M10" i="116"/>
  <c r="L8" i="116"/>
  <c r="C23" i="114" l="1"/>
  <c r="C22" i="114"/>
  <c r="C21" i="114"/>
  <c r="C20" i="116" l="1"/>
  <c r="C33" i="116"/>
  <c r="C23" i="116" l="1"/>
  <c r="B23" i="116"/>
  <c r="I23" i="116"/>
  <c r="I16" i="116"/>
  <c r="C25" i="116"/>
  <c r="C10" i="116"/>
  <c r="C11" i="116"/>
  <c r="C9" i="116"/>
  <c r="I14" i="116"/>
  <c r="C8" i="116"/>
  <c r="L4" i="116"/>
  <c r="C6" i="116"/>
  <c r="M4" i="116" l="1"/>
  <c r="C34" i="116"/>
  <c r="C32" i="116"/>
  <c r="C29" i="116"/>
  <c r="C27" i="116"/>
  <c r="C26" i="116"/>
  <c r="C24" i="116"/>
  <c r="H12" i="116"/>
  <c r="C19" i="116"/>
  <c r="C18" i="116"/>
  <c r="C17" i="116"/>
  <c r="D16" i="114"/>
  <c r="B9" i="115" l="1"/>
  <c r="B9" i="114"/>
  <c r="J8" i="116" l="1"/>
  <c r="C30" i="116"/>
  <c r="C14" i="116"/>
  <c r="C5" i="116"/>
  <c r="C15" i="116"/>
  <c r="C3" i="116"/>
  <c r="C23" i="98"/>
  <c r="C22" i="98"/>
  <c r="G40" i="116" l="1"/>
  <c r="G41" i="116"/>
  <c r="C26" i="98"/>
  <c r="C13" i="98" l="1"/>
  <c r="I43" i="116" l="1"/>
  <c r="B17" i="116" s="1"/>
  <c r="H43" i="116" s="1"/>
  <c r="B42" i="116"/>
  <c r="B32" i="116"/>
  <c r="B27" i="116"/>
  <c r="B26" i="116"/>
  <c r="B24" i="116"/>
  <c r="B20" i="116"/>
  <c r="B10" i="116"/>
  <c r="B37" i="116"/>
  <c r="B3" i="116"/>
  <c r="B40" i="116" l="1"/>
  <c r="B41" i="116" s="1"/>
  <c r="I45" i="116"/>
  <c r="B8" i="115"/>
  <c r="B7" i="115"/>
  <c r="B6" i="115"/>
  <c r="B5" i="115"/>
  <c r="B16" i="115" s="1"/>
  <c r="B2" i="115"/>
  <c r="F3" i="115"/>
  <c r="B8" i="114"/>
  <c r="B7" i="114"/>
  <c r="B6" i="114"/>
  <c r="B5" i="114"/>
  <c r="F3" i="114"/>
  <c r="B2" i="114"/>
  <c r="C38" i="98"/>
  <c r="C37" i="98"/>
  <c r="B38" i="116" l="1"/>
  <c r="B16" i="114"/>
  <c r="B35" i="99"/>
  <c r="B13" i="99"/>
  <c r="B12" i="99"/>
  <c r="I49" i="99"/>
  <c r="I47" i="99"/>
  <c r="B46" i="99"/>
  <c r="G45" i="99"/>
  <c r="G44" i="99"/>
  <c r="J42" i="99"/>
  <c r="F42" i="99"/>
  <c r="B36" i="99"/>
  <c r="B27" i="99"/>
  <c r="B26" i="99"/>
  <c r="B24" i="99"/>
  <c r="B23" i="99"/>
  <c r="B20" i="99"/>
  <c r="H47" i="99"/>
  <c r="B10" i="99"/>
  <c r="B44" i="99"/>
  <c r="C36" i="98"/>
  <c r="C27" i="98"/>
  <c r="C24" i="98"/>
  <c r="C31" i="98"/>
  <c r="B26" i="98"/>
  <c r="C8" i="98"/>
  <c r="C7" i="98"/>
  <c r="C6" i="98"/>
  <c r="B45" i="99" l="1"/>
  <c r="B41" i="99"/>
  <c r="B42" i="99" s="1"/>
  <c r="F8" i="99" s="1"/>
  <c r="C20" i="98"/>
  <c r="C19" i="98"/>
  <c r="C18" i="98"/>
  <c r="C17" i="98"/>
  <c r="C12" i="98"/>
  <c r="C11" i="98"/>
  <c r="C10" i="98"/>
  <c r="C9" i="98"/>
  <c r="C4" i="98" l="1"/>
  <c r="C15" i="98"/>
  <c r="C3" i="98"/>
  <c r="C14" i="98" l="1"/>
  <c r="C32" i="98"/>
  <c r="C5" i="98"/>
  <c r="B6" i="110" l="1"/>
  <c r="F3" i="110"/>
  <c r="B2" i="110" s="1"/>
  <c r="B6" i="109"/>
  <c r="B5" i="109"/>
  <c r="B16" i="109" s="1"/>
  <c r="F3" i="109"/>
  <c r="B2" i="109"/>
  <c r="B9" i="98"/>
  <c r="C23" i="97"/>
  <c r="B16" i="110" l="1"/>
  <c r="C16" i="97"/>
  <c r="F43" i="97" l="1"/>
  <c r="C32" i="97" l="1"/>
  <c r="C38" i="97" l="1"/>
  <c r="C10" i="97" l="1"/>
  <c r="C6" i="97" l="1"/>
  <c r="C5" i="97"/>
  <c r="B6" i="107" l="1"/>
  <c r="B5" i="108"/>
  <c r="F3" i="108" l="1"/>
  <c r="B2" i="108" s="1"/>
  <c r="B16" i="108" s="1"/>
  <c r="B3" i="107"/>
  <c r="B17" i="107" s="1"/>
  <c r="F4" i="107"/>
  <c r="C37" i="97"/>
  <c r="C28" i="97"/>
  <c r="C27" i="97"/>
  <c r="C25" i="97"/>
  <c r="C24" i="97"/>
  <c r="I47" i="98"/>
  <c r="B46" i="98"/>
  <c r="I49" i="98" s="1"/>
  <c r="G45" i="98"/>
  <c r="G44" i="98"/>
  <c r="J42" i="98"/>
  <c r="F42" i="98"/>
  <c r="B36" i="98"/>
  <c r="B27" i="98"/>
  <c r="B24" i="98"/>
  <c r="B23" i="98"/>
  <c r="B20" i="98"/>
  <c r="B17" i="98"/>
  <c r="H47" i="98" s="1"/>
  <c r="B10" i="98"/>
  <c r="B3" i="98"/>
  <c r="C18" i="97"/>
  <c r="C19" i="97"/>
  <c r="C20" i="97"/>
  <c r="C21" i="97"/>
  <c r="B21" i="97"/>
  <c r="C17" i="97"/>
  <c r="C15" i="97"/>
  <c r="C7" i="97"/>
  <c r="C4" i="97"/>
  <c r="C14" i="97"/>
  <c r="C33" i="97"/>
  <c r="C3" i="97"/>
  <c r="H12" i="97"/>
  <c r="G15" i="97"/>
  <c r="G12" i="97"/>
  <c r="C16" i="96"/>
  <c r="B41" i="98" l="1"/>
  <c r="B44" i="98"/>
  <c r="G10" i="97"/>
  <c r="G9" i="97"/>
  <c r="H8" i="97"/>
  <c r="G8" i="97"/>
  <c r="C2" i="96"/>
  <c r="C40" i="96"/>
  <c r="C41" i="96"/>
  <c r="C23" i="96"/>
  <c r="B45" i="98" l="1"/>
  <c r="B42" i="98"/>
  <c r="I48" i="97"/>
  <c r="B47" i="97"/>
  <c r="I50" i="97" s="1"/>
  <c r="G45" i="97"/>
  <c r="J43" i="97"/>
  <c r="B37" i="97"/>
  <c r="B28" i="97"/>
  <c r="B27" i="97"/>
  <c r="B25" i="97"/>
  <c r="B24" i="97"/>
  <c r="B17" i="97"/>
  <c r="B10" i="97"/>
  <c r="B3" i="97"/>
  <c r="B42" i="97" s="1"/>
  <c r="H48" i="97" l="1"/>
  <c r="B45" i="97"/>
  <c r="G46" i="97"/>
  <c r="J33" i="96"/>
  <c r="I33" i="96"/>
  <c r="B46" i="97" l="1"/>
  <c r="B43" i="97"/>
  <c r="F8" i="97" s="1"/>
  <c r="C37" i="96"/>
  <c r="C6" i="96"/>
  <c r="C8" i="96" l="1"/>
  <c r="C32" i="96"/>
  <c r="C25" i="96"/>
  <c r="C27" i="96"/>
  <c r="C28" i="96"/>
  <c r="C24" i="96"/>
  <c r="C10" i="96"/>
  <c r="C9" i="96"/>
  <c r="H28" i="96" l="1"/>
  <c r="F11" i="96" l="1"/>
  <c r="C18" i="96"/>
  <c r="C19" i="96"/>
  <c r="C20" i="96"/>
  <c r="C21" i="96"/>
  <c r="C17" i="96"/>
  <c r="C33" i="96" l="1"/>
  <c r="M29" i="96"/>
  <c r="C15" i="96"/>
  <c r="C14" i="96"/>
  <c r="C3" i="96"/>
  <c r="J27" i="96"/>
  <c r="K24" i="96"/>
  <c r="C39" i="93"/>
  <c r="C2" i="93"/>
  <c r="B10" i="96" l="1"/>
  <c r="M6" i="96" l="1"/>
  <c r="C21" i="93" l="1"/>
  <c r="B19" i="104" l="1"/>
  <c r="G7" i="104"/>
  <c r="E7" i="104"/>
  <c r="I10" i="96" l="1"/>
  <c r="I8" i="96"/>
  <c r="F9" i="96"/>
  <c r="F7" i="96"/>
  <c r="B44" i="93"/>
  <c r="B47" i="96"/>
  <c r="C25" i="93"/>
  <c r="B46" i="93"/>
  <c r="E7" i="85" l="1"/>
  <c r="M8" i="96" l="1"/>
  <c r="C10" i="93"/>
  <c r="C35" i="93" l="1"/>
  <c r="F11" i="103" l="1"/>
  <c r="F10" i="103"/>
  <c r="B19" i="93"/>
  <c r="B40" i="85" l="1"/>
  <c r="G7" i="85"/>
  <c r="C37" i="93"/>
  <c r="C36" i="93"/>
  <c r="C26" i="93"/>
  <c r="C22" i="93"/>
  <c r="C23" i="93"/>
  <c r="C6" i="93"/>
  <c r="C8" i="93"/>
  <c r="C30" i="93" l="1"/>
  <c r="C34" i="93"/>
  <c r="C31" i="93"/>
  <c r="C12" i="93"/>
  <c r="C13" i="93"/>
  <c r="C16" i="93"/>
  <c r="C17" i="93"/>
  <c r="C18" i="93"/>
  <c r="C19" i="93"/>
  <c r="C9" i="93"/>
  <c r="C24" i="93"/>
  <c r="I48" i="96"/>
  <c r="I50" i="96"/>
  <c r="G45" i="96"/>
  <c r="J43" i="96"/>
  <c r="B42" i="96"/>
  <c r="B37" i="96"/>
  <c r="B28" i="96"/>
  <c r="B27" i="96"/>
  <c r="B25" i="96"/>
  <c r="B24" i="96"/>
  <c r="B21" i="96"/>
  <c r="B17" i="96"/>
  <c r="H48" i="96" s="1"/>
  <c r="B3" i="96"/>
  <c r="B10" i="103"/>
  <c r="B37" i="85"/>
  <c r="B45" i="96" l="1"/>
  <c r="G26" i="96" s="1"/>
  <c r="G46" i="96"/>
  <c r="B46" i="96" l="1"/>
  <c r="B43" i="96"/>
  <c r="F25" i="96" l="1"/>
  <c r="G25" i="96" s="1"/>
  <c r="G36" i="96"/>
  <c r="G32" i="96"/>
  <c r="I26" i="96"/>
  <c r="I13" i="96"/>
  <c r="B9" i="103"/>
  <c r="B8" i="103"/>
  <c r="B7" i="103"/>
  <c r="B6" i="103"/>
  <c r="B31" i="85"/>
  <c r="B33" i="85"/>
  <c r="L19" i="96" l="1"/>
  <c r="L20" i="96" s="1"/>
  <c r="I15" i="96"/>
  <c r="F20" i="96" s="1"/>
  <c r="C18" i="102"/>
  <c r="C32" i="102"/>
  <c r="F29" i="102"/>
  <c r="C13" i="102"/>
  <c r="H20" i="96" l="1"/>
  <c r="H22" i="96"/>
  <c r="B3" i="93"/>
  <c r="C3" i="93" s="1"/>
  <c r="I47" i="93"/>
  <c r="B15" i="93" s="1"/>
  <c r="G44" i="93"/>
  <c r="J42" i="93"/>
  <c r="B35" i="93"/>
  <c r="B26" i="93"/>
  <c r="B25" i="93"/>
  <c r="B23" i="93"/>
  <c r="B22" i="93"/>
  <c r="C33" i="102"/>
  <c r="I49" i="93" l="1"/>
  <c r="B4" i="93"/>
  <c r="C4" i="93" s="1"/>
  <c r="B5" i="93"/>
  <c r="C5" i="93" s="1"/>
  <c r="H47" i="93"/>
  <c r="C15" i="93"/>
  <c r="G45" i="93"/>
  <c r="I17" i="102"/>
  <c r="B41" i="93" l="1"/>
  <c r="B42" i="93" s="1"/>
  <c r="B45" i="93"/>
  <c r="C27" i="102"/>
  <c r="C35" i="102" l="1"/>
  <c r="C34" i="102"/>
  <c r="C4" i="102"/>
  <c r="F14" i="102" l="1"/>
  <c r="C23" i="102"/>
  <c r="C22" i="102"/>
  <c r="C20" i="102"/>
  <c r="C19" i="102"/>
  <c r="B32" i="85"/>
  <c r="C21" i="102"/>
  <c r="C8" i="102"/>
  <c r="C7" i="102"/>
  <c r="C6" i="102"/>
  <c r="B40" i="102" l="1"/>
  <c r="C29" i="102"/>
  <c r="C16" i="102"/>
  <c r="C15" i="102"/>
  <c r="C14" i="102"/>
  <c r="C28" i="102" l="1"/>
  <c r="C12" i="102"/>
  <c r="C11" i="102"/>
  <c r="C5" i="102"/>
  <c r="C3" i="102"/>
  <c r="F15" i="102" l="1"/>
  <c r="B3" i="102"/>
  <c r="B45" i="102"/>
  <c r="B4" i="102" s="1"/>
  <c r="B34" i="85" l="1"/>
  <c r="B33" i="103" l="1"/>
  <c r="B5" i="103"/>
  <c r="B3" i="103"/>
  <c r="B30" i="85"/>
  <c r="B28" i="85"/>
  <c r="G14" i="100" l="1"/>
  <c r="C2" i="100"/>
  <c r="C37" i="100" l="1"/>
  <c r="L15" i="100" l="1"/>
  <c r="B37" i="100"/>
  <c r="C38" i="100"/>
  <c r="C34" i="100"/>
  <c r="C13" i="100"/>
  <c r="C39" i="100" l="1"/>
  <c r="G35" i="100"/>
  <c r="C19" i="100"/>
  <c r="I46" i="102" l="1"/>
  <c r="B14" i="102" s="1"/>
  <c r="H46" i="102" s="1"/>
  <c r="G44" i="102"/>
  <c r="G43" i="102"/>
  <c r="J41" i="102"/>
  <c r="B33" i="102"/>
  <c r="B23" i="102"/>
  <c r="B22" i="102"/>
  <c r="B20" i="102"/>
  <c r="B19" i="102"/>
  <c r="I48" i="102" l="1"/>
  <c r="B43" i="102"/>
  <c r="F5" i="102" s="1"/>
  <c r="H10" i="102" s="1"/>
  <c r="B44" i="102" l="1"/>
  <c r="K10" i="102"/>
  <c r="B41" i="102"/>
  <c r="M2" i="102" s="1"/>
  <c r="C21" i="100"/>
  <c r="C30" i="100"/>
  <c r="C15" i="100"/>
  <c r="C16" i="100"/>
  <c r="C10" i="100"/>
  <c r="K12" i="102" l="1"/>
  <c r="C27" i="100"/>
  <c r="C9" i="100" l="1"/>
  <c r="C8" i="100"/>
  <c r="C23" i="100"/>
  <c r="C22" i="100"/>
  <c r="C20" i="100"/>
  <c r="C6" i="100"/>
  <c r="C36" i="100"/>
  <c r="C35" i="100"/>
  <c r="C7" i="100"/>
  <c r="J43" i="100" l="1"/>
  <c r="G45" i="100"/>
  <c r="I48" i="100"/>
  <c r="C29" i="100"/>
  <c r="C28" i="100"/>
  <c r="C12" i="100"/>
  <c r="C11" i="100"/>
  <c r="C5" i="100"/>
  <c r="C3" i="100"/>
  <c r="B47" i="100" l="1"/>
  <c r="B34" i="100"/>
  <c r="B23" i="100"/>
  <c r="B22" i="100"/>
  <c r="B20" i="100"/>
  <c r="B19" i="100"/>
  <c r="B14" i="100"/>
  <c r="C21" i="101"/>
  <c r="C17" i="101"/>
  <c r="H12" i="101"/>
  <c r="C33" i="101"/>
  <c r="C34" i="101"/>
  <c r="C6" i="101"/>
  <c r="C26" i="101"/>
  <c r="C20" i="101"/>
  <c r="C8" i="101"/>
  <c r="C7" i="101"/>
  <c r="C29" i="101"/>
  <c r="C14" i="101"/>
  <c r="C15" i="101"/>
  <c r="C22" i="101"/>
  <c r="C19" i="101"/>
  <c r="C18" i="101"/>
  <c r="C27" i="101"/>
  <c r="C28" i="101"/>
  <c r="B21" i="101"/>
  <c r="C11" i="101"/>
  <c r="C10" i="101"/>
  <c r="C5" i="101"/>
  <c r="C3" i="101"/>
  <c r="C21" i="91"/>
  <c r="C22" i="91"/>
  <c r="B22" i="91"/>
  <c r="I43" i="101"/>
  <c r="B13" i="101" s="1"/>
  <c r="B42" i="101"/>
  <c r="I45" i="101" s="1"/>
  <c r="G40" i="101"/>
  <c r="J38" i="101"/>
  <c r="B33" i="101"/>
  <c r="F24" i="101"/>
  <c r="B22" i="101"/>
  <c r="I24" i="101"/>
  <c r="B19" i="101"/>
  <c r="B18" i="101"/>
  <c r="C18" i="91"/>
  <c r="E27" i="95"/>
  <c r="B5" i="95"/>
  <c r="B25" i="95"/>
  <c r="F21" i="95"/>
  <c r="B28" i="95"/>
  <c r="B27" i="95"/>
  <c r="B26" i="95"/>
  <c r="E26" i="95" s="1"/>
  <c r="B20" i="95"/>
  <c r="B19" i="95"/>
  <c r="B18" i="95"/>
  <c r="B22" i="95" s="1"/>
  <c r="H15" i="95" s="1"/>
  <c r="B9" i="95"/>
  <c r="E28" i="95" s="1"/>
  <c r="B8" i="95"/>
  <c r="B6" i="95"/>
  <c r="C34" i="91"/>
  <c r="C23" i="91"/>
  <c r="B21" i="91"/>
  <c r="C20" i="91"/>
  <c r="C19" i="91"/>
  <c r="B20" i="91"/>
  <c r="B19" i="91"/>
  <c r="B23" i="91"/>
  <c r="C35" i="91"/>
  <c r="C30" i="91"/>
  <c r="C16" i="91"/>
  <c r="C15" i="91"/>
  <c r="C9" i="91"/>
  <c r="C8" i="91"/>
  <c r="C12" i="91"/>
  <c r="C11" i="91"/>
  <c r="C28" i="91"/>
  <c r="C29" i="91"/>
  <c r="C3" i="91"/>
  <c r="E30" i="90"/>
  <c r="I44" i="91"/>
  <c r="B14" i="91" s="1"/>
  <c r="B43" i="91"/>
  <c r="I46" i="91" s="1"/>
  <c r="G42" i="91"/>
  <c r="G41" i="91"/>
  <c r="J39" i="91"/>
  <c r="B34" i="91"/>
  <c r="F25" i="91"/>
  <c r="I22" i="91"/>
  <c r="I25" i="91" s="1"/>
  <c r="E12" i="91"/>
  <c r="C32" i="90"/>
  <c r="C18" i="94"/>
  <c r="C8" i="90"/>
  <c r="C7" i="90"/>
  <c r="B21" i="92"/>
  <c r="C14" i="92"/>
  <c r="C15" i="92"/>
  <c r="C16" i="92"/>
  <c r="C17" i="92"/>
  <c r="C18" i="92"/>
  <c r="C19" i="92"/>
  <c r="C20" i="92"/>
  <c r="C21" i="92"/>
  <c r="C13" i="92"/>
  <c r="F12" i="92"/>
  <c r="F11" i="92"/>
  <c r="C8" i="92"/>
  <c r="F4" i="92"/>
  <c r="F6" i="92"/>
  <c r="B7" i="92"/>
  <c r="B22" i="92" s="1"/>
  <c r="C33" i="90"/>
  <c r="C29" i="90"/>
  <c r="C15" i="90"/>
  <c r="C14" i="90"/>
  <c r="E22" i="92"/>
  <c r="D22" i="92"/>
  <c r="I21" i="90"/>
  <c r="I24" i="90" s="1"/>
  <c r="B14" i="88"/>
  <c r="F24" i="90"/>
  <c r="E11" i="90"/>
  <c r="C22" i="90"/>
  <c r="C21" i="90"/>
  <c r="B20" i="90"/>
  <c r="C19" i="90"/>
  <c r="C18" i="90"/>
  <c r="B22" i="90"/>
  <c r="B21" i="90"/>
  <c r="B19" i="90"/>
  <c r="B18" i="90"/>
  <c r="C11" i="90"/>
  <c r="C3" i="90"/>
  <c r="C10" i="90"/>
  <c r="C27" i="90"/>
  <c r="C28" i="90"/>
  <c r="C6" i="90"/>
  <c r="B5" i="90"/>
  <c r="C5" i="90" s="1"/>
  <c r="I42" i="90"/>
  <c r="B13" i="90" s="1"/>
  <c r="B41" i="90"/>
  <c r="I44" i="90" s="1"/>
  <c r="G39" i="90"/>
  <c r="J37" i="90"/>
  <c r="B33" i="90"/>
  <c r="B32" i="90"/>
  <c r="C34" i="89"/>
  <c r="C29" i="89"/>
  <c r="C14" i="89"/>
  <c r="C15" i="89"/>
  <c r="C16" i="89"/>
  <c r="C17" i="89"/>
  <c r="C20" i="89"/>
  <c r="C12" i="89"/>
  <c r="C6" i="89"/>
  <c r="C7" i="89"/>
  <c r="C8" i="89"/>
  <c r="C5" i="89"/>
  <c r="H48" i="100" l="1"/>
  <c r="C14" i="100"/>
  <c r="B4" i="100"/>
  <c r="C4" i="100" s="1"/>
  <c r="I50" i="100"/>
  <c r="G46" i="100"/>
  <c r="H44" i="91"/>
  <c r="F6" i="91"/>
  <c r="F10" i="91" s="1"/>
  <c r="C14" i="91"/>
  <c r="B41" i="91"/>
  <c r="B42" i="91" s="1"/>
  <c r="H43" i="101"/>
  <c r="F5" i="101"/>
  <c r="F9" i="101" s="1"/>
  <c r="C13" i="101"/>
  <c r="F6" i="90"/>
  <c r="F9" i="90" s="1"/>
  <c r="C13" i="90"/>
  <c r="B15" i="95"/>
  <c r="H14" i="95" s="1"/>
  <c r="J14" i="95" s="1"/>
  <c r="J17" i="95" s="1"/>
  <c r="J21" i="95" s="1"/>
  <c r="E25" i="95"/>
  <c r="G40" i="90"/>
  <c r="B31" i="95"/>
  <c r="H16" i="95" s="1"/>
  <c r="B4" i="101"/>
  <c r="C4" i="101" s="1"/>
  <c r="B37" i="101" s="1"/>
  <c r="C22" i="92"/>
  <c r="G41" i="101"/>
  <c r="B42" i="100"/>
  <c r="B40" i="101"/>
  <c r="B38" i="91"/>
  <c r="B26" i="92"/>
  <c r="F22" i="92"/>
  <c r="B36" i="90"/>
  <c r="B39" i="90"/>
  <c r="H42" i="90"/>
  <c r="F4" i="89"/>
  <c r="F2" i="89"/>
  <c r="C28" i="89"/>
  <c r="C27" i="89"/>
  <c r="C10" i="89"/>
  <c r="C3" i="89"/>
  <c r="C11" i="89"/>
  <c r="H13" i="84"/>
  <c r="H15" i="84" s="1"/>
  <c r="H16" i="84" s="1"/>
  <c r="C22" i="84"/>
  <c r="C21" i="84"/>
  <c r="C19" i="84"/>
  <c r="C18" i="84"/>
  <c r="B45" i="100" l="1"/>
  <c r="B46" i="100" s="1"/>
  <c r="B39" i="91"/>
  <c r="F29" i="91" s="1"/>
  <c r="H17" i="95"/>
  <c r="H22" i="95" s="1"/>
  <c r="H23" i="95" s="1"/>
  <c r="B41" i="101"/>
  <c r="B38" i="101"/>
  <c r="E36" i="101" s="1"/>
  <c r="E42" i="91"/>
  <c r="E14" i="91"/>
  <c r="C24" i="92"/>
  <c r="E24" i="92"/>
  <c r="D24" i="92"/>
  <c r="F24" i="92"/>
  <c r="B40" i="90"/>
  <c r="B37" i="90"/>
  <c r="L15" i="84"/>
  <c r="L14" i="84"/>
  <c r="L13" i="84"/>
  <c r="C33" i="84"/>
  <c r="C12" i="84"/>
  <c r="I42" i="89"/>
  <c r="B13" i="89" s="1"/>
  <c r="B41" i="89"/>
  <c r="I44" i="89" s="1"/>
  <c r="G39" i="89"/>
  <c r="J37" i="89"/>
  <c r="B33" i="89"/>
  <c r="C33" i="89" s="1"/>
  <c r="B32" i="89"/>
  <c r="C32" i="89" s="1"/>
  <c r="B22" i="89"/>
  <c r="C22" i="89" s="1"/>
  <c r="B21" i="89"/>
  <c r="C21" i="89" s="1"/>
  <c r="B19" i="89"/>
  <c r="C19" i="89" s="1"/>
  <c r="B18" i="89"/>
  <c r="C18" i="89" s="1"/>
  <c r="B43" i="100" l="1"/>
  <c r="D45" i="91"/>
  <c r="C13" i="89"/>
  <c r="F6" i="89"/>
  <c r="F9" i="89" s="1"/>
  <c r="E13" i="101"/>
  <c r="E13" i="90"/>
  <c r="E40" i="90"/>
  <c r="D43" i="90"/>
  <c r="B36" i="89"/>
  <c r="B39" i="89"/>
  <c r="G40" i="89"/>
  <c r="H42" i="89"/>
  <c r="D4" i="86"/>
  <c r="I12" i="100" l="1"/>
  <c r="L17" i="100"/>
  <c r="B40" i="89"/>
  <c r="B37" i="89"/>
  <c r="G5" i="86"/>
  <c r="G6" i="86"/>
  <c r="G7" i="86"/>
  <c r="G8" i="86"/>
  <c r="G9" i="86"/>
  <c r="G10" i="86"/>
  <c r="G11" i="86"/>
  <c r="G12" i="86"/>
  <c r="G13" i="86"/>
  <c r="G14" i="86"/>
  <c r="G15" i="86"/>
  <c r="G16" i="86"/>
  <c r="G4" i="86"/>
  <c r="F17" i="86"/>
  <c r="B24" i="86" s="1"/>
  <c r="C17" i="86"/>
  <c r="D17" i="86"/>
  <c r="E17" i="86"/>
  <c r="B17" i="86"/>
  <c r="B19" i="86" s="1"/>
  <c r="B21" i="86" l="1"/>
  <c r="J6" i="86"/>
  <c r="G17" i="86"/>
  <c r="B25" i="86" s="1"/>
  <c r="B26" i="86" s="1"/>
  <c r="D43" i="89"/>
  <c r="E40" i="89"/>
  <c r="J5" i="86"/>
  <c r="F19" i="84"/>
  <c r="B22" i="86" l="1"/>
  <c r="J7" i="86"/>
  <c r="J10" i="86" s="1"/>
  <c r="C5" i="84" l="1"/>
  <c r="C29" i="84" l="1"/>
  <c r="C14" i="84"/>
  <c r="C15" i="84"/>
  <c r="C8" i="84"/>
  <c r="C7" i="84"/>
  <c r="I4" i="84"/>
  <c r="I3" i="84"/>
  <c r="I8" i="84" s="1"/>
  <c r="H6" i="84"/>
  <c r="H5" i="84"/>
  <c r="H4" i="84"/>
  <c r="C13" i="83"/>
  <c r="D13" i="83" s="1"/>
  <c r="D13" i="87"/>
  <c r="C13" i="87"/>
  <c r="F14" i="84" l="1"/>
  <c r="C6" i="84"/>
  <c r="C28" i="84"/>
  <c r="C27" i="84"/>
  <c r="C10" i="84"/>
  <c r="C3" i="84"/>
  <c r="C22" i="82" l="1"/>
  <c r="C21" i="82"/>
  <c r="C19" i="82"/>
  <c r="C18" i="82"/>
  <c r="C34" i="82"/>
  <c r="C17" i="82"/>
  <c r="C2" i="82"/>
  <c r="B11" i="84"/>
  <c r="C11" i="84" s="1"/>
  <c r="G8" i="82" l="1"/>
  <c r="G10" i="82"/>
  <c r="F6" i="84" l="1"/>
  <c r="B32" i="84"/>
  <c r="I42" i="84"/>
  <c r="B13" i="84" s="1"/>
  <c r="B41" i="84"/>
  <c r="I44" i="84" s="1"/>
  <c r="G39" i="84"/>
  <c r="J37" i="84"/>
  <c r="B33" i="84"/>
  <c r="B22" i="84"/>
  <c r="B21" i="84"/>
  <c r="B19" i="84"/>
  <c r="B18" i="84"/>
  <c r="G17" i="82"/>
  <c r="B39" i="84" l="1"/>
  <c r="C13" i="84"/>
  <c r="H3" i="84"/>
  <c r="H8" i="84" s="1"/>
  <c r="K8" i="84" s="1"/>
  <c r="G40" i="84"/>
  <c r="B40" i="84"/>
  <c r="B36" i="84"/>
  <c r="B37" i="84" s="1"/>
  <c r="I15" i="84" s="1"/>
  <c r="I16" i="84" s="1"/>
  <c r="I18" i="84" s="1"/>
  <c r="H42" i="84"/>
  <c r="E14" i="84" l="1"/>
  <c r="G17" i="84"/>
  <c r="G19" i="84" s="1"/>
  <c r="D43" i="84"/>
  <c r="E40" i="84"/>
  <c r="E26" i="82"/>
  <c r="B33" i="82" l="1"/>
  <c r="C33" i="82" s="1"/>
  <c r="J37" i="82" l="1"/>
  <c r="G39" i="82"/>
  <c r="I42" i="82"/>
  <c r="B20" i="82"/>
  <c r="B18" i="82"/>
  <c r="B21" i="82"/>
  <c r="C5" i="82"/>
  <c r="C29" i="82" l="1"/>
  <c r="C15" i="82"/>
  <c r="C10" i="82"/>
  <c r="C9" i="82"/>
  <c r="C8" i="82"/>
  <c r="C12" i="82" l="1"/>
  <c r="C4" i="82"/>
  <c r="C3" i="82"/>
  <c r="C11" i="82"/>
  <c r="C27" i="82"/>
  <c r="C28" i="82"/>
  <c r="C6" i="82"/>
  <c r="C2" i="81"/>
  <c r="B18" i="81"/>
  <c r="C18" i="81" s="1"/>
  <c r="B32" i="82" l="1"/>
  <c r="C32" i="82" s="1"/>
  <c r="B41" i="82"/>
  <c r="B22" i="82"/>
  <c r="B19" i="82"/>
  <c r="B14" i="82"/>
  <c r="B7" i="82"/>
  <c r="C7" i="82" s="1"/>
  <c r="I44" i="82" l="1"/>
  <c r="G40" i="82"/>
  <c r="C14" i="82"/>
  <c r="H42" i="82"/>
  <c r="B39" i="82"/>
  <c r="B40" i="82" s="1"/>
  <c r="B36" i="82"/>
  <c r="B37" i="82" l="1"/>
  <c r="F23" i="82" s="1"/>
  <c r="G23" i="82" s="1"/>
  <c r="B32" i="81"/>
  <c r="C32" i="81" s="1"/>
  <c r="C17" i="81"/>
  <c r="E40" i="82" l="1"/>
  <c r="D43" i="82"/>
  <c r="I22" i="81"/>
  <c r="C10" i="81" l="1"/>
  <c r="C5" i="81"/>
  <c r="B31" i="81" l="1"/>
  <c r="C31" i="81" s="1"/>
  <c r="C13" i="79"/>
  <c r="C11" i="79"/>
  <c r="C3" i="79"/>
  <c r="E16" i="81"/>
  <c r="C28" i="81"/>
  <c r="C15" i="81"/>
  <c r="E5" i="81"/>
  <c r="E7" i="81" s="1"/>
  <c r="E3" i="79"/>
  <c r="C6" i="81"/>
  <c r="C27" i="81"/>
  <c r="C26" i="81"/>
  <c r="C12" i="81"/>
  <c r="C11" i="81"/>
  <c r="C4" i="81"/>
  <c r="C3" i="81"/>
  <c r="K12" i="81" l="1"/>
  <c r="J36" i="81"/>
  <c r="G38" i="81"/>
  <c r="B21" i="81"/>
  <c r="C21" i="81" s="1"/>
  <c r="B20" i="81"/>
  <c r="C20" i="81" s="1"/>
  <c r="B19" i="81"/>
  <c r="C19" i="81" s="1"/>
  <c r="B7" i="81"/>
  <c r="C25" i="79"/>
  <c r="C24" i="79"/>
  <c r="C23" i="79"/>
  <c r="C20" i="79"/>
  <c r="C18" i="79"/>
  <c r="C15" i="79"/>
  <c r="C2" i="79"/>
  <c r="C9" i="79"/>
  <c r="I41" i="81"/>
  <c r="B14" i="81" s="1"/>
  <c r="C14" i="81" s="1"/>
  <c r="B40" i="81"/>
  <c r="I43" i="81" s="1"/>
  <c r="M5" i="81"/>
  <c r="C8" i="79"/>
  <c r="G39" i="81" l="1"/>
  <c r="F5" i="81"/>
  <c r="F7" i="81" s="1"/>
  <c r="G7" i="81" s="1"/>
  <c r="I7" i="81" s="1"/>
  <c r="C7" i="81"/>
  <c r="B35" i="81" s="1"/>
  <c r="H41" i="81"/>
  <c r="B38" i="81"/>
  <c r="C6" i="80"/>
  <c r="D6" i="80" s="1"/>
  <c r="E6" i="80" s="1"/>
  <c r="B39" i="81" l="1"/>
  <c r="B36" i="81"/>
  <c r="E39" i="81" l="1"/>
  <c r="D42" i="81"/>
  <c r="C21" i="79"/>
  <c r="C17" i="79"/>
  <c r="C10" i="79"/>
  <c r="C7" i="79"/>
  <c r="C16" i="79"/>
  <c r="C5" i="79"/>
  <c r="C4" i="79"/>
  <c r="B25" i="79"/>
  <c r="B31" i="79"/>
  <c r="C9" i="76"/>
  <c r="C8" i="76"/>
  <c r="C2" i="76"/>
  <c r="C19" i="76" l="1"/>
  <c r="C15" i="76"/>
  <c r="C18" i="76" l="1"/>
  <c r="G6" i="76"/>
  <c r="C13" i="76"/>
  <c r="C12" i="76"/>
  <c r="C11" i="76"/>
  <c r="C3" i="76"/>
  <c r="H2" i="76"/>
  <c r="C1" i="76"/>
  <c r="C17" i="76"/>
  <c r="C4" i="76"/>
  <c r="C7" i="76"/>
  <c r="C10" i="76"/>
  <c r="G2" i="76" l="1"/>
  <c r="F14" i="76"/>
  <c r="B24" i="79" l="1"/>
  <c r="B23" i="79"/>
  <c r="B36" i="79"/>
  <c r="B34" i="79"/>
  <c r="K11" i="79"/>
  <c r="M5" i="79"/>
  <c r="F6" i="78"/>
  <c r="F4" i="78"/>
  <c r="B39" i="79" l="1"/>
  <c r="C40" i="79" s="1"/>
  <c r="B32" i="79"/>
  <c r="B35" i="79"/>
  <c r="F5" i="78"/>
  <c r="F9" i="78" s="1"/>
  <c r="C6" i="78" l="1"/>
  <c r="C5" i="78"/>
  <c r="D5" i="78"/>
  <c r="C4" i="78"/>
  <c r="C9" i="78" s="1"/>
  <c r="C11" i="78" s="1"/>
  <c r="K9" i="75" l="1"/>
  <c r="E10" i="76" l="1"/>
  <c r="C5" i="76" l="1"/>
  <c r="C16" i="76"/>
  <c r="E3" i="76" l="1"/>
  <c r="C2" i="74" l="1"/>
  <c r="C13" i="74"/>
  <c r="C10" i="74" l="1"/>
  <c r="E11" i="74" l="1"/>
  <c r="E13" i="74" s="1"/>
  <c r="C7" i="74" l="1"/>
  <c r="C27" i="74"/>
  <c r="C15" i="74"/>
  <c r="C30" i="74"/>
  <c r="C26" i="74"/>
  <c r="C11" i="74"/>
  <c r="C4" i="74"/>
  <c r="C17" i="74"/>
  <c r="H14" i="75" l="1"/>
  <c r="I14" i="75" s="1"/>
  <c r="F7" i="75"/>
  <c r="H7" i="75" s="1"/>
  <c r="E4" i="75"/>
  <c r="B38" i="76" l="1"/>
  <c r="B14" i="76"/>
  <c r="K11" i="76"/>
  <c r="M5" i="76"/>
  <c r="C5" i="74"/>
  <c r="C14" i="76" l="1"/>
  <c r="B33" i="76" s="1"/>
  <c r="B36" i="76"/>
  <c r="K14" i="73"/>
  <c r="B37" i="76" l="1"/>
  <c r="B41" i="76"/>
  <c r="C42" i="76" s="1"/>
  <c r="B34" i="76"/>
  <c r="C3" i="74"/>
  <c r="C6" i="74"/>
  <c r="C7" i="72" l="1"/>
  <c r="C29" i="72" l="1"/>
  <c r="C4" i="72" l="1"/>
  <c r="C25" i="72" l="1"/>
  <c r="C24" i="72"/>
  <c r="C16" i="72"/>
  <c r="C11" i="72"/>
  <c r="J4" i="73" l="1"/>
  <c r="I40" i="74"/>
  <c r="D39" i="74"/>
  <c r="D43" i="74" s="1"/>
  <c r="B39" i="74"/>
  <c r="I42" i="74" s="1"/>
  <c r="G37" i="74"/>
  <c r="J35" i="74"/>
  <c r="F26" i="74"/>
  <c r="F27" i="74" s="1"/>
  <c r="I22" i="74" s="1"/>
  <c r="E17" i="74"/>
  <c r="B14" i="74"/>
  <c r="K12" i="74"/>
  <c r="I12" i="74"/>
  <c r="I11" i="74"/>
  <c r="B37" i="74"/>
  <c r="M5" i="74"/>
  <c r="H3" i="74"/>
  <c r="H2" i="74"/>
  <c r="H6" i="74" s="1"/>
  <c r="H40" i="74" l="1"/>
  <c r="E5" i="74"/>
  <c r="C14" i="74"/>
  <c r="E3" i="74"/>
  <c r="I26" i="74"/>
  <c r="D44" i="74"/>
  <c r="B38" i="74"/>
  <c r="B42" i="74"/>
  <c r="C43" i="74" s="1"/>
  <c r="E41" i="74"/>
  <c r="E42" i="74" s="1"/>
  <c r="F23" i="74"/>
  <c r="G38" i="74"/>
  <c r="B34" i="74"/>
  <c r="B35" i="74" s="1"/>
  <c r="C26" i="72"/>
  <c r="C23" i="72"/>
  <c r="E29" i="74" l="1"/>
  <c r="D37" i="74"/>
  <c r="I4" i="73"/>
  <c r="E6" i="73"/>
  <c r="B9" i="73"/>
  <c r="B15" i="73"/>
  <c r="A34" i="73"/>
  <c r="C3" i="72" l="1"/>
  <c r="C10" i="72" l="1"/>
  <c r="C12" i="72"/>
  <c r="C6" i="72"/>
  <c r="C16" i="70" l="1"/>
  <c r="D7" i="71" l="1"/>
  <c r="C6" i="71"/>
  <c r="C10" i="71" s="1"/>
  <c r="B8" i="72" l="1"/>
  <c r="C7" i="70"/>
  <c r="C25" i="70" l="1"/>
  <c r="C24" i="70"/>
  <c r="C11" i="70"/>
  <c r="C4" i="70"/>
  <c r="G9" i="71" l="1"/>
  <c r="C27" i="70" l="1"/>
  <c r="C26" i="70"/>
  <c r="C9" i="70"/>
  <c r="G4" i="71"/>
  <c r="G5" i="71"/>
  <c r="G7" i="71" l="1"/>
  <c r="H7" i="71"/>
  <c r="F25" i="72" l="1"/>
  <c r="F23" i="70"/>
  <c r="I39" i="72"/>
  <c r="D38" i="72"/>
  <c r="D42" i="72" s="1"/>
  <c r="B38" i="72"/>
  <c r="I41" i="72" s="1"/>
  <c r="G36" i="72"/>
  <c r="J34" i="72"/>
  <c r="B28" i="72"/>
  <c r="F26" i="72"/>
  <c r="E16" i="72"/>
  <c r="B14" i="72"/>
  <c r="K12" i="72"/>
  <c r="I12" i="72"/>
  <c r="I11" i="72"/>
  <c r="M5" i="72"/>
  <c r="H3" i="72"/>
  <c r="E3" i="72"/>
  <c r="H2" i="72"/>
  <c r="H6" i="72" s="1"/>
  <c r="E2" i="72"/>
  <c r="H39" i="72" l="1"/>
  <c r="D2" i="72"/>
  <c r="D11" i="72" s="1"/>
  <c r="C14" i="72"/>
  <c r="E6" i="72"/>
  <c r="G37" i="72"/>
  <c r="I21" i="72"/>
  <c r="I25" i="72" s="1"/>
  <c r="F22" i="72"/>
  <c r="C5" i="70"/>
  <c r="C3" i="70"/>
  <c r="B33" i="72" l="1"/>
  <c r="B36" i="72"/>
  <c r="C10" i="70"/>
  <c r="C33" i="69"/>
  <c r="C7" i="69"/>
  <c r="B41" i="72" l="1"/>
  <c r="C42" i="72" s="1"/>
  <c r="E40" i="72"/>
  <c r="E41" i="72" s="1"/>
  <c r="B37" i="72"/>
  <c r="B34" i="72"/>
  <c r="D14" i="72" s="1"/>
  <c r="D43" i="72"/>
  <c r="C2" i="69"/>
  <c r="C16" i="69"/>
  <c r="D36" i="72" l="1"/>
  <c r="E28" i="72"/>
  <c r="C6" i="70"/>
  <c r="C29" i="69" l="1"/>
  <c r="C12" i="70" l="1"/>
  <c r="B55" i="70" l="1"/>
  <c r="C29" i="70" s="1"/>
  <c r="C17" i="69" l="1"/>
  <c r="C31" i="69" l="1"/>
  <c r="E16" i="69" l="1"/>
  <c r="D26" i="69"/>
  <c r="B32" i="69" l="1"/>
  <c r="C32" i="69" s="1"/>
  <c r="B30" i="69"/>
  <c r="C30" i="69" s="1"/>
  <c r="C28" i="69"/>
  <c r="C27" i="69"/>
  <c r="C9" i="69"/>
  <c r="C26" i="69"/>
  <c r="C25" i="69"/>
  <c r="C24" i="69"/>
  <c r="C23" i="69"/>
  <c r="C11" i="69"/>
  <c r="C4" i="69"/>
  <c r="I38" i="70" l="1"/>
  <c r="D38" i="70"/>
  <c r="D42" i="70" s="1"/>
  <c r="B38" i="70"/>
  <c r="G36" i="70"/>
  <c r="J34" i="70"/>
  <c r="D26" i="70"/>
  <c r="F24" i="70"/>
  <c r="B8" i="70" s="1"/>
  <c r="C8" i="70" s="1"/>
  <c r="B14" i="70"/>
  <c r="K12" i="70"/>
  <c r="I12" i="70"/>
  <c r="I11" i="70"/>
  <c r="M5" i="70"/>
  <c r="H3" i="70"/>
  <c r="H2" i="70"/>
  <c r="H6" i="70" s="1"/>
  <c r="H38" i="70" l="1"/>
  <c r="C14" i="70"/>
  <c r="B33" i="70" s="1"/>
  <c r="D10" i="70"/>
  <c r="D46" i="70"/>
  <c r="D13" i="70"/>
  <c r="E6" i="70"/>
  <c r="G37" i="70"/>
  <c r="I40" i="70"/>
  <c r="I21" i="70"/>
  <c r="I24" i="70" s="1"/>
  <c r="B36" i="70"/>
  <c r="F9" i="70"/>
  <c r="E27" i="70" s="1"/>
  <c r="C10" i="69"/>
  <c r="C5" i="69"/>
  <c r="F20" i="70" l="1"/>
  <c r="F26" i="70"/>
  <c r="B41" i="70"/>
  <c r="C42" i="70" s="1"/>
  <c r="B37" i="70"/>
  <c r="E38" i="70"/>
  <c r="E39" i="70" s="1"/>
  <c r="B34" i="70"/>
  <c r="D36" i="70" s="1"/>
  <c r="D43" i="70"/>
  <c r="C12" i="69"/>
  <c r="C6" i="69"/>
  <c r="C3" i="69"/>
  <c r="C7" i="68"/>
  <c r="C30" i="68"/>
  <c r="C28" i="68"/>
  <c r="C27" i="68"/>
  <c r="I12" i="69" l="1"/>
  <c r="I11" i="69"/>
  <c r="F25" i="69"/>
  <c r="F26" i="69" s="1"/>
  <c r="F11" i="69" s="1"/>
  <c r="F22" i="69" s="1"/>
  <c r="C16" i="68"/>
  <c r="I21" i="69" l="1"/>
  <c r="I25" i="69" s="1"/>
  <c r="I10" i="67"/>
  <c r="G10" i="67"/>
  <c r="G9" i="67"/>
  <c r="G14" i="67" s="1"/>
  <c r="G12" i="67" l="1"/>
  <c r="D41" i="69"/>
  <c r="D45" i="69" s="1"/>
  <c r="B41" i="69"/>
  <c r="I44" i="69" s="1"/>
  <c r="I42" i="69"/>
  <c r="B14" i="69" s="1"/>
  <c r="G39" i="69"/>
  <c r="J37" i="69"/>
  <c r="K12" i="69"/>
  <c r="B8" i="69"/>
  <c r="M5" i="69"/>
  <c r="H3" i="69"/>
  <c r="E3" i="69"/>
  <c r="H2" i="69"/>
  <c r="H6" i="69" s="1"/>
  <c r="E2" i="69"/>
  <c r="C8" i="69" l="1"/>
  <c r="D7" i="69"/>
  <c r="H42" i="69"/>
  <c r="C14" i="69"/>
  <c r="D8" i="69"/>
  <c r="D10" i="69" s="1"/>
  <c r="E6" i="69"/>
  <c r="B36" i="69"/>
  <c r="G40" i="69"/>
  <c r="B39" i="69"/>
  <c r="H4" i="67"/>
  <c r="H6" i="67" s="1"/>
  <c r="H7" i="67" s="1"/>
  <c r="I6" i="67"/>
  <c r="C24" i="68"/>
  <c r="C9" i="68"/>
  <c r="B40" i="69" l="1"/>
  <c r="B44" i="69"/>
  <c r="C45" i="69" s="1"/>
  <c r="B37" i="69"/>
  <c r="E28" i="69" s="1"/>
  <c r="E43" i="69"/>
  <c r="E44" i="69" s="1"/>
  <c r="D46" i="69"/>
  <c r="C29" i="68"/>
  <c r="C26" i="68"/>
  <c r="C25" i="68"/>
  <c r="C23" i="68"/>
  <c r="C11" i="68"/>
  <c r="C6" i="68"/>
  <c r="C4" i="68"/>
  <c r="D39" i="69" l="1"/>
  <c r="F3" i="63"/>
  <c r="D26" i="68" l="1"/>
  <c r="B29" i="68"/>
  <c r="C10" i="68"/>
  <c r="D38" i="68" l="1"/>
  <c r="D42" i="68" s="1"/>
  <c r="B38" i="68"/>
  <c r="G37" i="68" s="1"/>
  <c r="G36" i="68"/>
  <c r="J34" i="68"/>
  <c r="I36" i="68"/>
  <c r="B14" i="68" s="1"/>
  <c r="F24" i="68"/>
  <c r="I11" i="68" s="1"/>
  <c r="I22" i="68" s="1"/>
  <c r="K12" i="68"/>
  <c r="I12" i="68"/>
  <c r="M5" i="68"/>
  <c r="B5" i="68"/>
  <c r="C5" i="68" s="1"/>
  <c r="H3" i="68"/>
  <c r="E3" i="68"/>
  <c r="H2" i="68"/>
  <c r="H6" i="68" s="1"/>
  <c r="E2" i="68"/>
  <c r="E2" i="64"/>
  <c r="H2" i="64"/>
  <c r="H6" i="64" s="1"/>
  <c r="C3" i="64"/>
  <c r="E3" i="64"/>
  <c r="E6" i="64" s="1"/>
  <c r="H3" i="64"/>
  <c r="C4" i="64"/>
  <c r="B5" i="64"/>
  <c r="C5" i="64"/>
  <c r="M5" i="64"/>
  <c r="C7" i="64"/>
  <c r="C9" i="64"/>
  <c r="C10" i="64"/>
  <c r="C11" i="64"/>
  <c r="C12" i="64"/>
  <c r="I12" i="64"/>
  <c r="K12" i="64"/>
  <c r="C16" i="64"/>
  <c r="C23" i="64"/>
  <c r="E24" i="64"/>
  <c r="F24" i="64"/>
  <c r="B8" i="64" s="1"/>
  <c r="C8" i="64" s="1"/>
  <c r="C25" i="64"/>
  <c r="C26" i="64"/>
  <c r="B29" i="64"/>
  <c r="C29" i="64" s="1"/>
  <c r="B30" i="64"/>
  <c r="C30" i="64"/>
  <c r="G31" i="64"/>
  <c r="I34" i="64"/>
  <c r="B14" i="64" s="1"/>
  <c r="J34" i="64"/>
  <c r="G36" i="64"/>
  <c r="B38" i="64"/>
  <c r="G37" i="64" s="1"/>
  <c r="D38" i="64"/>
  <c r="D42" i="64" s="1"/>
  <c r="I36" i="64" l="1"/>
  <c r="F12" i="64"/>
  <c r="F20" i="64" s="1"/>
  <c r="H36" i="68"/>
  <c r="C14" i="68"/>
  <c r="B33" i="68" s="1"/>
  <c r="B8" i="68"/>
  <c r="C8" i="68" s="1"/>
  <c r="B36" i="68"/>
  <c r="B37" i="68" s="1"/>
  <c r="E6" i="68"/>
  <c r="F11" i="68"/>
  <c r="F20" i="68" s="1"/>
  <c r="I38" i="68"/>
  <c r="B36" i="64"/>
  <c r="D43" i="64"/>
  <c r="E23" i="64"/>
  <c r="E25" i="64" s="1"/>
  <c r="H34" i="64"/>
  <c r="C14" i="64"/>
  <c r="B33" i="64"/>
  <c r="I11" i="64"/>
  <c r="I20" i="64" s="1"/>
  <c r="E38" i="68" l="1"/>
  <c r="E39" i="68" s="1"/>
  <c r="D43" i="68"/>
  <c r="B41" i="68"/>
  <c r="C42" i="68" s="1"/>
  <c r="B34" i="68"/>
  <c r="D36" i="68" s="1"/>
  <c r="B34" i="64"/>
  <c r="D36" i="64" s="1"/>
  <c r="B37" i="64"/>
  <c r="E38" i="64"/>
  <c r="E39" i="64" s="1"/>
  <c r="B41" i="64"/>
  <c r="C42" i="64" s="1"/>
  <c r="C16" i="61"/>
  <c r="C18" i="61" l="1"/>
  <c r="D6" i="61"/>
  <c r="D5" i="61"/>
  <c r="C19" i="61" l="1"/>
  <c r="C20" i="61" s="1"/>
  <c r="C16" i="60"/>
  <c r="C13" i="60"/>
  <c r="B23" i="66" l="1"/>
  <c r="C22" i="67" l="1"/>
  <c r="C26" i="60" l="1"/>
  <c r="C25" i="60"/>
  <c r="C11" i="60"/>
  <c r="C4" i="60"/>
  <c r="C27" i="60" l="1"/>
  <c r="C29" i="60" l="1"/>
  <c r="F31" i="60" l="1"/>
  <c r="C7" i="60"/>
  <c r="C9" i="60"/>
  <c r="C3" i="60" l="1"/>
  <c r="F2" i="63" l="1"/>
  <c r="C15" i="62" l="1"/>
  <c r="C19" i="63" l="1"/>
  <c r="C26" i="63" s="1"/>
  <c r="D26" i="63" s="1"/>
  <c r="C10" i="60" l="1"/>
  <c r="C28" i="60" l="1"/>
  <c r="F23" i="60"/>
  <c r="F24" i="60" s="1"/>
  <c r="D8" i="62" l="1"/>
  <c r="D10" i="62" s="1"/>
  <c r="C23" i="60" l="1"/>
  <c r="C12" i="60"/>
  <c r="I12" i="60"/>
  <c r="F14" i="60"/>
  <c r="I11" i="60"/>
  <c r="E3" i="60"/>
  <c r="B6" i="60"/>
  <c r="E2" i="60" s="1"/>
  <c r="E6" i="60" s="1"/>
  <c r="D37" i="60"/>
  <c r="D41" i="60" s="1"/>
  <c r="B37" i="60"/>
  <c r="G36" i="60" s="1"/>
  <c r="G35" i="60"/>
  <c r="J33" i="60"/>
  <c r="I33" i="60"/>
  <c r="B14" i="60" s="1"/>
  <c r="C14" i="60" s="1"/>
  <c r="K12" i="60"/>
  <c r="M5" i="60"/>
  <c r="B5" i="60"/>
  <c r="C5" i="60" s="1"/>
  <c r="H3" i="60"/>
  <c r="H2" i="60"/>
  <c r="C6" i="60" l="1"/>
  <c r="B8" i="60"/>
  <c r="C8" i="60" s="1"/>
  <c r="B32" i="60" s="1"/>
  <c r="C33" i="60" s="1"/>
  <c r="F13" i="60"/>
  <c r="F19" i="60" s="1"/>
  <c r="B35" i="60"/>
  <c r="B36" i="60" s="1"/>
  <c r="I19" i="60"/>
  <c r="H6" i="60"/>
  <c r="I35" i="60"/>
  <c r="H33" i="60"/>
  <c r="C31" i="57"/>
  <c r="C16" i="57"/>
  <c r="C13" i="57"/>
  <c r="C2" i="57"/>
  <c r="B33" i="60" l="1"/>
  <c r="E31" i="60" s="1"/>
  <c r="E37" i="60"/>
  <c r="E38" i="60" s="1"/>
  <c r="B40" i="60"/>
  <c r="C41" i="60" s="1"/>
  <c r="D42" i="60"/>
  <c r="C9" i="57"/>
  <c r="C8" i="57"/>
  <c r="C23" i="57"/>
  <c r="C22" i="57"/>
  <c r="D35" i="60" l="1"/>
  <c r="E22" i="57"/>
  <c r="C28" i="57"/>
  <c r="C7" i="57" l="1"/>
  <c r="I14" i="57"/>
  <c r="F15" i="57"/>
  <c r="F16" i="57"/>
  <c r="F19" i="57" s="1"/>
  <c r="I16" i="57"/>
  <c r="I19" i="57" s="1"/>
  <c r="E10" i="59"/>
  <c r="B10" i="59"/>
  <c r="B9" i="59"/>
  <c r="B13" i="59" s="1"/>
  <c r="E8" i="59"/>
  <c r="E13" i="59" s="1"/>
  <c r="H3" i="57" l="1"/>
  <c r="H2" i="57"/>
  <c r="H6" i="57" l="1"/>
  <c r="K12" i="57" l="1"/>
  <c r="C30" i="57"/>
  <c r="C29" i="57"/>
  <c r="B27" i="57"/>
  <c r="C27" i="57"/>
  <c r="C12" i="57"/>
  <c r="C11" i="57"/>
  <c r="C4" i="57"/>
  <c r="C3" i="57"/>
  <c r="B6" i="57" l="1"/>
  <c r="C6" i="57" s="1"/>
  <c r="D39" i="57"/>
  <c r="D43" i="57" s="1"/>
  <c r="B39" i="57"/>
  <c r="B5" i="57" s="1"/>
  <c r="C5" i="57" s="1"/>
  <c r="G37" i="57"/>
  <c r="J35" i="57"/>
  <c r="I35" i="57"/>
  <c r="B14" i="57" s="1"/>
  <c r="C14" i="57" s="1"/>
  <c r="M5" i="57"/>
  <c r="B34" i="57" l="1"/>
  <c r="E2" i="57"/>
  <c r="E6" i="57" s="1"/>
  <c r="H35" i="57"/>
  <c r="B37" i="57"/>
  <c r="D44" i="57" s="1"/>
  <c r="I37" i="57"/>
  <c r="G38" i="57"/>
  <c r="C13" i="56"/>
  <c r="C9" i="56"/>
  <c r="B35" i="57" l="1"/>
  <c r="E33" i="57" s="1"/>
  <c r="B42" i="57"/>
  <c r="C43" i="57" s="1"/>
  <c r="E39" i="57"/>
  <c r="E40" i="57" s="1"/>
  <c r="B38" i="57"/>
  <c r="C16" i="56"/>
  <c r="D37" i="57" l="1"/>
  <c r="F20" i="56" l="1"/>
  <c r="B25" i="56" l="1"/>
  <c r="C25" i="56" s="1"/>
  <c r="C22" i="56"/>
  <c r="C27" i="56" l="1"/>
  <c r="C26" i="56"/>
  <c r="C12" i="56"/>
  <c r="C11" i="56"/>
  <c r="C4" i="56"/>
  <c r="C3" i="56"/>
  <c r="B22" i="56" l="1"/>
  <c r="I15" i="56"/>
  <c r="B19" i="56"/>
  <c r="C19" i="56" s="1"/>
  <c r="B18" i="56"/>
  <c r="C18" i="56" s="1"/>
  <c r="B17" i="56"/>
  <c r="C17" i="56" s="1"/>
  <c r="B5" i="56"/>
  <c r="C5" i="56" s="1"/>
  <c r="B6" i="56"/>
  <c r="C6" i="56" s="1"/>
  <c r="F15" i="56"/>
  <c r="D34" i="56"/>
  <c r="D38" i="56" s="1"/>
  <c r="B34" i="56"/>
  <c r="G33" i="56" s="1"/>
  <c r="G32" i="56"/>
  <c r="J30" i="56"/>
  <c r="I30" i="56"/>
  <c r="B14" i="56" s="1"/>
  <c r="B8" i="56"/>
  <c r="M5" i="56"/>
  <c r="I5" i="53"/>
  <c r="C8" i="56" l="1"/>
  <c r="E18" i="56"/>
  <c r="H30" i="56"/>
  <c r="C14" i="56"/>
  <c r="I32" i="56"/>
  <c r="B32" i="56"/>
  <c r="B33" i="56" s="1"/>
  <c r="B29" i="56"/>
  <c r="C16" i="53"/>
  <c r="C13" i="53"/>
  <c r="B30" i="56" l="1"/>
  <c r="D39" i="56"/>
  <c r="E34" i="56"/>
  <c r="E35" i="56" s="1"/>
  <c r="B37" i="56"/>
  <c r="C38" i="56" s="1"/>
  <c r="C9" i="53"/>
  <c r="C3" i="53"/>
  <c r="D32" i="56" l="1"/>
  <c r="E20" i="56"/>
  <c r="C30" i="56"/>
  <c r="B19" i="53"/>
  <c r="C19" i="53" s="1"/>
  <c r="B18" i="53"/>
  <c r="C18" i="53" s="1"/>
  <c r="B17" i="53"/>
  <c r="C17" i="53" s="1"/>
  <c r="C25" i="53"/>
  <c r="B5" i="53"/>
  <c r="C5" i="53" s="1"/>
  <c r="H3" i="55"/>
  <c r="D11" i="55"/>
  <c r="C10" i="53"/>
  <c r="C7" i="53"/>
  <c r="G5" i="53"/>
  <c r="E5" i="53"/>
  <c r="C6" i="53" l="1"/>
  <c r="C28" i="53"/>
  <c r="C27" i="53"/>
  <c r="C12" i="53"/>
  <c r="C11" i="53"/>
  <c r="C4" i="53"/>
  <c r="B22" i="53"/>
  <c r="D35" i="53"/>
  <c r="D39" i="53" s="1"/>
  <c r="B35" i="53"/>
  <c r="I33" i="53" s="1"/>
  <c r="G33" i="53"/>
  <c r="J31" i="53"/>
  <c r="I31" i="53"/>
  <c r="B14" i="53" s="1"/>
  <c r="H31" i="53" s="1"/>
  <c r="B8" i="53"/>
  <c r="C8" i="53" s="1"/>
  <c r="M5" i="53"/>
  <c r="C14" i="53" l="1"/>
  <c r="G34" i="53"/>
  <c r="B33" i="53"/>
  <c r="B38" i="53" s="1"/>
  <c r="C39" i="53" s="1"/>
  <c r="B30" i="53"/>
  <c r="B31" i="53" l="1"/>
  <c r="F14" i="53" s="1"/>
  <c r="E35" i="53"/>
  <c r="E36" i="53" s="1"/>
  <c r="B34" i="53"/>
  <c r="D40" i="53"/>
  <c r="I6" i="36"/>
  <c r="C9" i="52"/>
  <c r="D33" i="53" l="1"/>
  <c r="H2" i="53"/>
  <c r="I2" i="53"/>
  <c r="C31" i="53"/>
  <c r="C10" i="52"/>
  <c r="C28" i="52"/>
  <c r="C27" i="52"/>
  <c r="C3" i="52"/>
  <c r="C12" i="52"/>
  <c r="C4" i="52"/>
  <c r="C25" i="52"/>
  <c r="B6" i="52"/>
  <c r="C6" i="52" s="1"/>
  <c r="D35" i="52"/>
  <c r="D39" i="52" s="1"/>
  <c r="B35" i="52"/>
  <c r="B5" i="52" s="1"/>
  <c r="C5" i="52" s="1"/>
  <c r="I33" i="52"/>
  <c r="G33" i="52"/>
  <c r="J31" i="52"/>
  <c r="I31" i="52"/>
  <c r="B14" i="52" s="1"/>
  <c r="B19" i="52"/>
  <c r="C19" i="52" s="1"/>
  <c r="B18" i="52"/>
  <c r="C18" i="52" s="1"/>
  <c r="J17" i="52"/>
  <c r="B17" i="52"/>
  <c r="C17" i="52" s="1"/>
  <c r="F14" i="52"/>
  <c r="E12" i="52"/>
  <c r="B11" i="52"/>
  <c r="C11" i="52" s="1"/>
  <c r="J9" i="52"/>
  <c r="B8" i="52"/>
  <c r="G7" i="52"/>
  <c r="M5" i="52"/>
  <c r="E5" i="52"/>
  <c r="E4" i="52"/>
  <c r="I3" i="52"/>
  <c r="E8" i="52" l="1"/>
  <c r="C8" i="52"/>
  <c r="F24" i="52" s="1"/>
  <c r="H31" i="52"/>
  <c r="G8" i="52"/>
  <c r="G9" i="52" s="1"/>
  <c r="E2" i="52"/>
  <c r="F3" i="52" s="1"/>
  <c r="I4" i="52"/>
  <c r="I6" i="52" s="1"/>
  <c r="G34" i="52"/>
  <c r="C14" i="52"/>
  <c r="B30" i="52" s="1"/>
  <c r="B33" i="52"/>
  <c r="B34" i="52" s="1"/>
  <c r="E35" i="52" l="1"/>
  <c r="E36" i="52" s="1"/>
  <c r="B31" i="52"/>
  <c r="B38" i="52"/>
  <c r="C39" i="52" s="1"/>
  <c r="D40" i="52"/>
  <c r="C10" i="48"/>
  <c r="C9" i="48"/>
  <c r="C31" i="52" l="1"/>
  <c r="D33" i="52"/>
  <c r="C25" i="48"/>
  <c r="C7" i="48"/>
  <c r="J17" i="48" l="1"/>
  <c r="C29" i="48"/>
  <c r="C28" i="48"/>
  <c r="C12" i="48"/>
  <c r="C6" i="48"/>
  <c r="C4" i="48"/>
  <c r="C3" i="48"/>
  <c r="B21" i="48"/>
  <c r="C21" i="48" s="1"/>
  <c r="E12" i="48" l="1"/>
  <c r="B5" i="48" s="1"/>
  <c r="C5" i="48" s="1"/>
  <c r="D36" i="48" l="1"/>
  <c r="D40" i="48" s="1"/>
  <c r="B36" i="48"/>
  <c r="G35" i="48" s="1"/>
  <c r="G34" i="48"/>
  <c r="J32" i="48"/>
  <c r="I32" i="48"/>
  <c r="B14" i="48" s="1"/>
  <c r="C14" i="48" s="1"/>
  <c r="B19" i="48"/>
  <c r="C19" i="48" s="1"/>
  <c r="B18" i="48"/>
  <c r="C18" i="48" s="1"/>
  <c r="B17" i="48"/>
  <c r="C17" i="48" s="1"/>
  <c r="F14" i="48"/>
  <c r="B11" i="48"/>
  <c r="C11" i="48" s="1"/>
  <c r="J9" i="48"/>
  <c r="B8" i="48"/>
  <c r="G7" i="48"/>
  <c r="M5" i="48"/>
  <c r="E5" i="48"/>
  <c r="I4" i="48"/>
  <c r="E4" i="48"/>
  <c r="I3" i="48"/>
  <c r="C9" i="50"/>
  <c r="C16" i="50"/>
  <c r="C5" i="50"/>
  <c r="B34" i="48" l="1"/>
  <c r="B35" i="48" s="1"/>
  <c r="C8" i="48"/>
  <c r="F24" i="48" s="1"/>
  <c r="I6" i="48"/>
  <c r="E8" i="48"/>
  <c r="B39" i="48"/>
  <c r="C40" i="48" s="1"/>
  <c r="E36" i="48"/>
  <c r="E37" i="48" s="1"/>
  <c r="G8" i="48"/>
  <c r="G9" i="48" s="1"/>
  <c r="E2" i="48"/>
  <c r="F3" i="48" s="1"/>
  <c r="H32" i="48"/>
  <c r="D41" i="48"/>
  <c r="I34" i="48"/>
  <c r="C24" i="50"/>
  <c r="C10" i="50"/>
  <c r="B31" i="48" l="1"/>
  <c r="B32" i="48" s="1"/>
  <c r="C32" i="48" s="1"/>
  <c r="J9" i="50"/>
  <c r="C7" i="50"/>
  <c r="G7" i="50"/>
  <c r="C29" i="50"/>
  <c r="C28" i="50"/>
  <c r="C27" i="50"/>
  <c r="C12" i="50"/>
  <c r="C6" i="50"/>
  <c r="C4" i="50"/>
  <c r="C3" i="50"/>
  <c r="D34" i="48" l="1"/>
  <c r="D36" i="50"/>
  <c r="D40" i="50" s="1"/>
  <c r="B36" i="50"/>
  <c r="G35" i="50" s="1"/>
  <c r="G34" i="50"/>
  <c r="J32" i="50"/>
  <c r="I32" i="50"/>
  <c r="B14" i="50" s="1"/>
  <c r="B19" i="50"/>
  <c r="C19" i="50" s="1"/>
  <c r="B18" i="50"/>
  <c r="C18" i="50" s="1"/>
  <c r="B17" i="50"/>
  <c r="C17" i="50" s="1"/>
  <c r="F14" i="50"/>
  <c r="B11" i="50"/>
  <c r="C11" i="50" s="1"/>
  <c r="B8" i="50"/>
  <c r="M5" i="50"/>
  <c r="E5" i="50"/>
  <c r="E4" i="50"/>
  <c r="I3" i="50"/>
  <c r="H32" i="50" l="1"/>
  <c r="G8" i="50"/>
  <c r="G9" i="50" s="1"/>
  <c r="C14" i="50"/>
  <c r="E8" i="50"/>
  <c r="C8" i="50"/>
  <c r="F23" i="50" s="1"/>
  <c r="I4" i="50"/>
  <c r="I6" i="50" s="1"/>
  <c r="I34" i="50"/>
  <c r="B34" i="50"/>
  <c r="C27" i="51"/>
  <c r="C25" i="51"/>
  <c r="C13" i="51"/>
  <c r="C9" i="51"/>
  <c r="E36" i="50" l="1"/>
  <c r="E37" i="50" s="1"/>
  <c r="B35" i="50"/>
  <c r="B39" i="50"/>
  <c r="C40" i="50" s="1"/>
  <c r="D41" i="50"/>
  <c r="B31" i="50"/>
  <c r="B32" i="50" s="1"/>
  <c r="C32" i="50" s="1"/>
  <c r="E2" i="50"/>
  <c r="F3" i="50" l="1"/>
  <c r="B18" i="51"/>
  <c r="C18" i="51" s="1"/>
  <c r="F15" i="51" l="1"/>
  <c r="F14" i="51"/>
  <c r="B37" i="51" l="1"/>
  <c r="C7" i="51" l="1"/>
  <c r="D5" i="51"/>
  <c r="C30" i="51"/>
  <c r="C29" i="51"/>
  <c r="C28" i="51"/>
  <c r="C4" i="51"/>
  <c r="C12" i="51"/>
  <c r="C6" i="51"/>
  <c r="C3" i="51"/>
  <c r="I5" i="51"/>
  <c r="I3" i="51"/>
  <c r="D37" i="51"/>
  <c r="D41" i="51" s="1"/>
  <c r="G36" i="51"/>
  <c r="I35" i="51"/>
  <c r="G35" i="51"/>
  <c r="J33" i="51"/>
  <c r="I33" i="51"/>
  <c r="B20" i="51"/>
  <c r="C20" i="51" s="1"/>
  <c r="B19" i="51"/>
  <c r="C19" i="51" s="1"/>
  <c r="B15" i="51"/>
  <c r="C15" i="51" s="1"/>
  <c r="B14" i="51"/>
  <c r="B11" i="51"/>
  <c r="C11" i="51" s="1"/>
  <c r="B8" i="51"/>
  <c r="C8" i="51" s="1"/>
  <c r="M5" i="51"/>
  <c r="E5" i="51"/>
  <c r="E4" i="51"/>
  <c r="I6" i="51" l="1"/>
  <c r="B5" i="51" s="1"/>
  <c r="B35" i="51" s="1"/>
  <c r="D42" i="51" s="1"/>
  <c r="H33" i="51"/>
  <c r="C14" i="51"/>
  <c r="E8" i="51"/>
  <c r="E2" i="51"/>
  <c r="C3" i="44"/>
  <c r="C5" i="44"/>
  <c r="C5" i="51" l="1"/>
  <c r="B32" i="51" s="1"/>
  <c r="B33" i="51" s="1"/>
  <c r="E37" i="51"/>
  <c r="E38" i="51" s="1"/>
  <c r="B36" i="51"/>
  <c r="B40" i="51"/>
  <c r="C41" i="51" s="1"/>
  <c r="F24" i="51"/>
  <c r="G7" i="51"/>
  <c r="F3" i="51"/>
  <c r="G2" i="51" s="1"/>
  <c r="G5" i="51" s="1"/>
  <c r="C9" i="44"/>
  <c r="C33" i="51" l="1"/>
  <c r="C7" i="44"/>
  <c r="B37" i="44" l="1"/>
  <c r="I1" i="44" l="1"/>
  <c r="I2" i="44"/>
  <c r="I3" i="44" s="1"/>
  <c r="B6" i="44" s="1"/>
  <c r="C6" i="44" s="1"/>
  <c r="C30" i="44"/>
  <c r="C29" i="44"/>
  <c r="C28" i="44"/>
  <c r="C26" i="44"/>
  <c r="C12" i="44"/>
  <c r="C10" i="44"/>
  <c r="C4" i="44"/>
  <c r="B27" i="44"/>
  <c r="D37" i="44"/>
  <c r="D41" i="44" s="1"/>
  <c r="G36" i="44"/>
  <c r="G35" i="44"/>
  <c r="J33" i="44"/>
  <c r="I33" i="44"/>
  <c r="B14" i="44" s="1"/>
  <c r="H33" i="44" s="1"/>
  <c r="B20" i="44"/>
  <c r="C20" i="44" s="1"/>
  <c r="B19" i="44"/>
  <c r="C19" i="44" s="1"/>
  <c r="B18" i="44"/>
  <c r="C18" i="44" s="1"/>
  <c r="B11" i="44"/>
  <c r="C11" i="44" s="1"/>
  <c r="B8" i="44"/>
  <c r="C8" i="44" s="1"/>
  <c r="M5" i="44"/>
  <c r="C14" i="44" l="1"/>
  <c r="I35" i="44"/>
  <c r="F24" i="44"/>
  <c r="B15" i="44"/>
  <c r="C15" i="44" s="1"/>
  <c r="C25" i="45"/>
  <c r="E5" i="44" l="1"/>
  <c r="E3" i="44"/>
  <c r="B35" i="44"/>
  <c r="B44" i="44" s="1"/>
  <c r="B46" i="44" s="1"/>
  <c r="C5" i="45"/>
  <c r="E37" i="44" l="1"/>
  <c r="E38" i="44" s="1"/>
  <c r="B36" i="44"/>
  <c r="B40" i="44"/>
  <c r="C41" i="44" s="1"/>
  <c r="D42" i="44"/>
  <c r="C12" i="45"/>
  <c r="C27" i="45" l="1"/>
  <c r="C10" i="45"/>
  <c r="C9" i="45" l="1"/>
  <c r="C28" i="45" l="1"/>
  <c r="C30" i="45"/>
  <c r="C29" i="45"/>
  <c r="E5" i="45"/>
  <c r="E4" i="45"/>
  <c r="B19" i="45" l="1"/>
  <c r="C19" i="45" s="1"/>
  <c r="B18" i="45"/>
  <c r="C18" i="45" s="1"/>
  <c r="C4" i="45"/>
  <c r="C3" i="45"/>
  <c r="C3" i="46" l="1"/>
  <c r="C28" i="46" l="1"/>
  <c r="C12" i="46"/>
  <c r="C4" i="46"/>
  <c r="D37" i="45" l="1"/>
  <c r="D41" i="45" s="1"/>
  <c r="B37" i="45"/>
  <c r="G36" i="45" s="1"/>
  <c r="G35" i="45"/>
  <c r="J33" i="45"/>
  <c r="I33" i="45"/>
  <c r="B14" i="45" s="1"/>
  <c r="B20" i="45"/>
  <c r="C20" i="45" s="1"/>
  <c r="B11" i="45"/>
  <c r="C11" i="45" s="1"/>
  <c r="B8" i="45"/>
  <c r="C7" i="45"/>
  <c r="C6" i="45"/>
  <c r="M5" i="45"/>
  <c r="I35" i="45" l="1"/>
  <c r="C14" i="45"/>
  <c r="B15" i="45"/>
  <c r="C15" i="45" s="1"/>
  <c r="C8" i="45"/>
  <c r="F24" i="45" s="1"/>
  <c r="E8" i="45"/>
  <c r="H33" i="45"/>
  <c r="B32" i="45" l="1"/>
  <c r="B35" i="45"/>
  <c r="E2" i="45"/>
  <c r="C6" i="46"/>
  <c r="I3" i="46"/>
  <c r="F3" i="46"/>
  <c r="B33" i="45" l="1"/>
  <c r="G7" i="45"/>
  <c r="F3" i="45"/>
  <c r="G2" i="45" s="1"/>
  <c r="G5" i="45" s="1"/>
  <c r="B40" i="45"/>
  <c r="C41" i="45" s="1"/>
  <c r="E37" i="45"/>
  <c r="E38" i="45" s="1"/>
  <c r="B36" i="45"/>
  <c r="D42" i="45"/>
  <c r="C10" i="46"/>
  <c r="C7" i="46"/>
  <c r="C33" i="45" l="1"/>
  <c r="B8" i="46"/>
  <c r="C8" i="46" s="1"/>
  <c r="D5" i="46"/>
  <c r="E5" i="46" l="1"/>
  <c r="B20" i="46"/>
  <c r="C20" i="46" s="1"/>
  <c r="B19" i="46"/>
  <c r="C19" i="46" s="1"/>
  <c r="B18" i="46"/>
  <c r="C18" i="46" s="1"/>
  <c r="B9" i="46"/>
  <c r="C9" i="46" s="1"/>
  <c r="C19" i="47"/>
  <c r="C17" i="47"/>
  <c r="D35" i="46"/>
  <c r="D39" i="46" s="1"/>
  <c r="B35" i="46"/>
  <c r="B27" i="46" s="1"/>
  <c r="C27" i="46" s="1"/>
  <c r="G33" i="46"/>
  <c r="J31" i="46"/>
  <c r="I31" i="46"/>
  <c r="B14" i="46" s="1"/>
  <c r="E28" i="46"/>
  <c r="E21" i="46"/>
  <c r="B11" i="46"/>
  <c r="C11" i="46" s="1"/>
  <c r="M5" i="46"/>
  <c r="O2" i="46"/>
  <c r="G34" i="46" l="1"/>
  <c r="B5" i="46"/>
  <c r="C5" i="46" s="1"/>
  <c r="C14" i="46"/>
  <c r="H31" i="46"/>
  <c r="I33" i="46"/>
  <c r="B15" i="46"/>
  <c r="C15" i="46" s="1"/>
  <c r="C24" i="47"/>
  <c r="E2" i="46" l="1"/>
  <c r="G3" i="46" s="1"/>
  <c r="B33" i="46"/>
  <c r="B30" i="46"/>
  <c r="C16" i="47"/>
  <c r="C8" i="47"/>
  <c r="C2" i="47"/>
  <c r="E35" i="46" l="1"/>
  <c r="E36" i="46" s="1"/>
  <c r="B34" i="46"/>
  <c r="B31" i="46"/>
  <c r="B38" i="46"/>
  <c r="C39" i="46" s="1"/>
  <c r="D40" i="46"/>
  <c r="C27" i="47"/>
  <c r="C12" i="47"/>
  <c r="C31" i="46" l="1"/>
  <c r="C9" i="47"/>
  <c r="C25" i="47"/>
  <c r="C11" i="47" l="1"/>
  <c r="C4" i="47" l="1"/>
  <c r="C3" i="47"/>
  <c r="C23" i="38" l="1"/>
  <c r="C15" i="38"/>
  <c r="C13" i="38" l="1"/>
  <c r="C8" i="38" l="1"/>
  <c r="C9" i="38"/>
  <c r="C11" i="38"/>
  <c r="C12" i="38"/>
  <c r="N12" i="36"/>
  <c r="N16" i="36" s="1"/>
  <c r="C30" i="38" l="1"/>
  <c r="C4" i="38"/>
  <c r="C3" i="38"/>
  <c r="P22" i="38"/>
  <c r="B21" i="38"/>
  <c r="C21" i="38" s="1"/>
  <c r="B34" i="47"/>
  <c r="G33" i="47" s="1"/>
  <c r="G32" i="47"/>
  <c r="N31" i="47"/>
  <c r="D34" i="47" s="1"/>
  <c r="D38" i="47" s="1"/>
  <c r="J30" i="47"/>
  <c r="I30" i="47"/>
  <c r="B13" i="47" s="1"/>
  <c r="C13" i="47" s="1"/>
  <c r="E27" i="47"/>
  <c r="E20" i="47"/>
  <c r="H18" i="47"/>
  <c r="I18" i="47" s="1"/>
  <c r="B18" i="47"/>
  <c r="C18" i="47" s="1"/>
  <c r="G11" i="47"/>
  <c r="B10" i="47"/>
  <c r="C10" i="47" s="1"/>
  <c r="K8" i="47"/>
  <c r="E8" i="47"/>
  <c r="E9" i="47" s="1"/>
  <c r="K10" i="47"/>
  <c r="M5" i="47"/>
  <c r="F5" i="47"/>
  <c r="O2" i="47"/>
  <c r="B5" i="47" l="1"/>
  <c r="H30" i="47"/>
  <c r="I32" i="47"/>
  <c r="B14" i="47"/>
  <c r="B26" i="47"/>
  <c r="C26" i="47" s="1"/>
  <c r="C2" i="39"/>
  <c r="C28" i="39"/>
  <c r="G5" i="47" l="1"/>
  <c r="H5" i="47" s="1"/>
  <c r="C14" i="47"/>
  <c r="K13" i="47"/>
  <c r="B32" i="47"/>
  <c r="C5" i="47"/>
  <c r="O2" i="38"/>
  <c r="B37" i="38"/>
  <c r="G35" i="38"/>
  <c r="J33" i="38"/>
  <c r="I33" i="38"/>
  <c r="B17" i="38" s="1"/>
  <c r="E30" i="38"/>
  <c r="E24" i="38"/>
  <c r="H22" i="38"/>
  <c r="I22" i="38" s="1"/>
  <c r="B22" i="38"/>
  <c r="C22" i="38" s="1"/>
  <c r="G15" i="38"/>
  <c r="B14" i="38"/>
  <c r="C14" i="38" s="1"/>
  <c r="K12" i="38"/>
  <c r="E12" i="38"/>
  <c r="E11" i="38"/>
  <c r="B10" i="38"/>
  <c r="C10" i="38" s="1"/>
  <c r="K8" i="38"/>
  <c r="K14" i="38" s="1"/>
  <c r="E8" i="38"/>
  <c r="B7" i="38"/>
  <c r="F5" i="38" s="1"/>
  <c r="M5" i="38"/>
  <c r="B29" i="47" l="1"/>
  <c r="E10" i="47"/>
  <c r="G10" i="47" s="1"/>
  <c r="G12" i="47" s="1"/>
  <c r="H33" i="38"/>
  <c r="C17" i="38"/>
  <c r="G36" i="38"/>
  <c r="N31" i="38"/>
  <c r="N34" i="38" s="1"/>
  <c r="D37" i="38" s="1"/>
  <c r="D41" i="38" s="1"/>
  <c r="B5" i="38"/>
  <c r="C5" i="38" s="1"/>
  <c r="E13" i="38"/>
  <c r="I35" i="38"/>
  <c r="F7" i="38"/>
  <c r="C7" i="38"/>
  <c r="E34" i="47"/>
  <c r="E35" i="47" s="1"/>
  <c r="B33" i="47"/>
  <c r="B30" i="47"/>
  <c r="D39" i="47"/>
  <c r="B37" i="47"/>
  <c r="C38" i="47" s="1"/>
  <c r="E12" i="47"/>
  <c r="B18" i="38"/>
  <c r="C18" i="38" s="1"/>
  <c r="B29" i="38"/>
  <c r="C29" i="38" s="1"/>
  <c r="B23" i="39"/>
  <c r="C23" i="39" s="1"/>
  <c r="B22" i="39"/>
  <c r="C22" i="39" s="1"/>
  <c r="B21" i="39"/>
  <c r="C21" i="39" s="1"/>
  <c r="C19" i="39"/>
  <c r="C27" i="39"/>
  <c r="C20" i="39"/>
  <c r="C16" i="39"/>
  <c r="C13" i="39"/>
  <c r="C30" i="47" l="1"/>
  <c r="B32" i="38"/>
  <c r="G5" i="38"/>
  <c r="B35" i="38"/>
  <c r="D42" i="38" s="1"/>
  <c r="R37" i="39"/>
  <c r="R39" i="39" s="1"/>
  <c r="N42" i="39"/>
  <c r="Q37" i="39"/>
  <c r="B33" i="38" l="1"/>
  <c r="B40" i="38"/>
  <c r="C41" i="38" s="1"/>
  <c r="E37" i="38"/>
  <c r="E38" i="38" s="1"/>
  <c r="B36" i="38"/>
  <c r="E14" i="38"/>
  <c r="H5" i="38"/>
  <c r="D37" i="39"/>
  <c r="C8" i="39"/>
  <c r="C11" i="39"/>
  <c r="C12" i="39"/>
  <c r="L12" i="36"/>
  <c r="G14" i="38" l="1"/>
  <c r="G16" i="38" s="1"/>
  <c r="E16" i="38"/>
  <c r="C33" i="38"/>
  <c r="Q22" i="39"/>
  <c r="C4" i="39" l="1"/>
  <c r="C30" i="39"/>
  <c r="C3" i="39"/>
  <c r="P15" i="39"/>
  <c r="D43" i="39"/>
  <c r="C27" i="42"/>
  <c r="C19" i="42"/>
  <c r="C16" i="42"/>
  <c r="D37" i="42" l="1"/>
  <c r="C28" i="42" l="1"/>
  <c r="D44" i="42" l="1"/>
  <c r="B37" i="39"/>
  <c r="B5" i="39" s="1"/>
  <c r="C5" i="39" s="1"/>
  <c r="G35" i="39"/>
  <c r="J33" i="39"/>
  <c r="I33" i="39"/>
  <c r="B17" i="39" s="1"/>
  <c r="C17" i="39" s="1"/>
  <c r="E30" i="39"/>
  <c r="N24" i="39"/>
  <c r="E24" i="39"/>
  <c r="H22" i="39"/>
  <c r="I22" i="39" s="1"/>
  <c r="G15" i="39"/>
  <c r="B14" i="39"/>
  <c r="C14" i="39" s="1"/>
  <c r="K12" i="39"/>
  <c r="E12" i="39"/>
  <c r="E11" i="39"/>
  <c r="B10" i="39"/>
  <c r="C10" i="39" s="1"/>
  <c r="B9" i="39"/>
  <c r="K8" i="39"/>
  <c r="K14" i="39" s="1"/>
  <c r="E8" i="39"/>
  <c r="B7" i="39"/>
  <c r="C7" i="39" s="1"/>
  <c r="M5" i="39"/>
  <c r="C20" i="42"/>
  <c r="C4" i="42"/>
  <c r="F5" i="39" l="1"/>
  <c r="E13" i="39"/>
  <c r="G36" i="39"/>
  <c r="B18" i="39"/>
  <c r="C18" i="39" s="1"/>
  <c r="B29" i="39"/>
  <c r="C29" i="39" s="1"/>
  <c r="F7" i="39"/>
  <c r="C9" i="39"/>
  <c r="I35" i="39"/>
  <c r="H33" i="39"/>
  <c r="C13" i="42"/>
  <c r="B35" i="39" l="1"/>
  <c r="B40" i="39" s="1"/>
  <c r="C43" i="39" s="1"/>
  <c r="B32" i="39"/>
  <c r="G5" i="39"/>
  <c r="E14" i="39" s="1"/>
  <c r="E37" i="39"/>
  <c r="E38" i="39" s="1"/>
  <c r="D44" i="39"/>
  <c r="B36" i="39"/>
  <c r="B33" i="39"/>
  <c r="M33" i="39" s="1"/>
  <c r="M35" i="39" s="1"/>
  <c r="M5" i="42"/>
  <c r="C11" i="42"/>
  <c r="C12" i="42"/>
  <c r="C8" i="42"/>
  <c r="H5" i="39" l="1"/>
  <c r="C33" i="39"/>
  <c r="G14" i="39"/>
  <c r="G16" i="39" s="1"/>
  <c r="E16" i="39"/>
  <c r="N24" i="42"/>
  <c r="C3" i="42"/>
  <c r="C30" i="42"/>
  <c r="B37" i="42" l="1"/>
  <c r="B18" i="42" s="1"/>
  <c r="C18" i="42" s="1"/>
  <c r="G35" i="42"/>
  <c r="J33" i="42"/>
  <c r="I33" i="42"/>
  <c r="B17" i="42" s="1"/>
  <c r="E30" i="42"/>
  <c r="E24" i="42"/>
  <c r="B23" i="42"/>
  <c r="C23" i="42" s="1"/>
  <c r="H22" i="42"/>
  <c r="I22" i="42" s="1"/>
  <c r="B22" i="42"/>
  <c r="C22" i="42" s="1"/>
  <c r="B21" i="42"/>
  <c r="C21" i="42" s="1"/>
  <c r="G15" i="42"/>
  <c r="B15" i="42"/>
  <c r="C15" i="42" s="1"/>
  <c r="B14" i="42"/>
  <c r="C14" i="42" s="1"/>
  <c r="K12" i="42"/>
  <c r="E12" i="42"/>
  <c r="E11" i="42"/>
  <c r="B10" i="42"/>
  <c r="C10" i="42" s="1"/>
  <c r="B9" i="42"/>
  <c r="C9" i="42" s="1"/>
  <c r="K8" i="42"/>
  <c r="K14" i="42" s="1"/>
  <c r="E8" i="42"/>
  <c r="B7" i="42"/>
  <c r="E31" i="40"/>
  <c r="C27" i="40"/>
  <c r="C26" i="40"/>
  <c r="C28" i="40"/>
  <c r="C24" i="40"/>
  <c r="B25" i="40"/>
  <c r="C25" i="40" s="1"/>
  <c r="C7" i="40"/>
  <c r="C10" i="40"/>
  <c r="E7" i="40"/>
  <c r="C31" i="40"/>
  <c r="B14" i="40"/>
  <c r="B13" i="40"/>
  <c r="C13" i="40" s="1"/>
  <c r="C19" i="40"/>
  <c r="B21" i="40"/>
  <c r="C21" i="40" s="1"/>
  <c r="B38" i="40"/>
  <c r="B5" i="40" s="1"/>
  <c r="C5" i="40" s="1"/>
  <c r="G36" i="40"/>
  <c r="J34" i="40"/>
  <c r="I34" i="40"/>
  <c r="B16" i="40" s="1"/>
  <c r="C16" i="40" s="1"/>
  <c r="E23" i="40"/>
  <c r="B22" i="40"/>
  <c r="C22" i="40" s="1"/>
  <c r="H21" i="40"/>
  <c r="I21" i="40" s="1"/>
  <c r="B20" i="40"/>
  <c r="C20" i="40" s="1"/>
  <c r="B17" i="40"/>
  <c r="C17" i="40" s="1"/>
  <c r="G14" i="40"/>
  <c r="K11" i="40"/>
  <c r="B11" i="40"/>
  <c r="E11" i="40" s="1"/>
  <c r="E10" i="40"/>
  <c r="B9" i="40"/>
  <c r="C9" i="40" s="1"/>
  <c r="B8" i="40"/>
  <c r="C8" i="40" s="1"/>
  <c r="K7" i="40"/>
  <c r="K13" i="40" s="1"/>
  <c r="B6" i="40"/>
  <c r="C6" i="40" s="1"/>
  <c r="C30" i="41"/>
  <c r="C29" i="41"/>
  <c r="C28" i="41"/>
  <c r="C20" i="41"/>
  <c r="C15" i="41"/>
  <c r="C5" i="41"/>
  <c r="C4" i="41"/>
  <c r="C3" i="41"/>
  <c r="C2" i="41"/>
  <c r="C10" i="41"/>
  <c r="C7" i="41"/>
  <c r="G14" i="41"/>
  <c r="B14" i="41"/>
  <c r="C14" i="41" s="1"/>
  <c r="E10" i="41"/>
  <c r="E7" i="41"/>
  <c r="G9" i="37"/>
  <c r="B39" i="41"/>
  <c r="B18" i="41" s="1"/>
  <c r="C18" i="41" s="1"/>
  <c r="G37" i="41"/>
  <c r="J35" i="41"/>
  <c r="I35" i="41"/>
  <c r="B16" i="41" s="1"/>
  <c r="C16" i="41" s="1"/>
  <c r="E24" i="41"/>
  <c r="B23" i="41"/>
  <c r="C23" i="41" s="1"/>
  <c r="H22" i="41"/>
  <c r="I22" i="41" s="1"/>
  <c r="B22" i="41"/>
  <c r="C22" i="41" s="1"/>
  <c r="B21" i="41"/>
  <c r="C21" i="41" s="1"/>
  <c r="B13" i="41"/>
  <c r="C13" i="41" s="1"/>
  <c r="K11" i="41"/>
  <c r="B11" i="41"/>
  <c r="C11" i="41" s="1"/>
  <c r="B9" i="41"/>
  <c r="C9" i="41" s="1"/>
  <c r="B8" i="41"/>
  <c r="C8" i="41" s="1"/>
  <c r="K7" i="41"/>
  <c r="K13" i="41" s="1"/>
  <c r="B6" i="41"/>
  <c r="C6" i="41" s="1"/>
  <c r="C25" i="34"/>
  <c r="C24" i="34"/>
  <c r="C19" i="34"/>
  <c r="C15" i="34"/>
  <c r="C12" i="34"/>
  <c r="C10" i="34"/>
  <c r="E10" i="34" s="1"/>
  <c r="C7" i="34"/>
  <c r="E7" i="34" s="1"/>
  <c r="C4" i="34"/>
  <c r="C3" i="34"/>
  <c r="B22" i="34"/>
  <c r="D22" i="34" s="1"/>
  <c r="B21" i="34"/>
  <c r="C21" i="34" s="1"/>
  <c r="H21" i="34"/>
  <c r="I21" i="34" s="1"/>
  <c r="B20" i="34"/>
  <c r="C20" i="34" s="1"/>
  <c r="B9" i="34"/>
  <c r="C9" i="34" s="1"/>
  <c r="B8" i="34"/>
  <c r="C8" i="34" s="1"/>
  <c r="K12" i="36"/>
  <c r="K16" i="36" s="1"/>
  <c r="N18" i="36" s="1"/>
  <c r="B6" i="34"/>
  <c r="B19" i="37"/>
  <c r="B21" i="37" s="1"/>
  <c r="B11" i="37"/>
  <c r="C12" i="37" s="1"/>
  <c r="C6" i="37"/>
  <c r="I16" i="32"/>
  <c r="I14" i="32"/>
  <c r="G14" i="32"/>
  <c r="E14" i="32"/>
  <c r="E13" i="32"/>
  <c r="D21" i="33"/>
  <c r="D26" i="33"/>
  <c r="D6" i="33"/>
  <c r="D8" i="33"/>
  <c r="D5" i="33"/>
  <c r="B7" i="33"/>
  <c r="D7" i="33" s="1"/>
  <c r="F7" i="33"/>
  <c r="B19" i="33"/>
  <c r="D19" i="33" s="1"/>
  <c r="B18" i="33"/>
  <c r="D18" i="33" s="1"/>
  <c r="B17" i="33"/>
  <c r="D17" i="33" s="1"/>
  <c r="F12" i="33"/>
  <c r="C16" i="36"/>
  <c r="C20" i="36" s="1"/>
  <c r="D40" i="33"/>
  <c r="B10" i="33"/>
  <c r="D10" i="33" s="1"/>
  <c r="F15" i="36"/>
  <c r="G15" i="36" s="1"/>
  <c r="G28" i="33"/>
  <c r="H28" i="33" s="1"/>
  <c r="F28" i="33"/>
  <c r="B6" i="36"/>
  <c r="C6" i="36"/>
  <c r="B10" i="36"/>
  <c r="C10" i="36"/>
  <c r="B13" i="34"/>
  <c r="C13" i="34" s="1"/>
  <c r="D43" i="34"/>
  <c r="C41" i="34"/>
  <c r="B36" i="34"/>
  <c r="I34" i="34" s="1"/>
  <c r="G34" i="34"/>
  <c r="J32" i="34"/>
  <c r="I32" i="34"/>
  <c r="B16" i="34" s="1"/>
  <c r="C16" i="34" s="1"/>
  <c r="C28" i="34"/>
  <c r="E23" i="34"/>
  <c r="B14" i="34"/>
  <c r="K7" i="34"/>
  <c r="K11" i="34"/>
  <c r="B11" i="34"/>
  <c r="C11" i="34" s="1"/>
  <c r="E11" i="34" s="1"/>
  <c r="D30" i="33"/>
  <c r="D27" i="33"/>
  <c r="D3" i="33"/>
  <c r="D11" i="33"/>
  <c r="B11" i="33"/>
  <c r="E45" i="33"/>
  <c r="D43" i="33"/>
  <c r="B38" i="33"/>
  <c r="J36" i="33" s="1"/>
  <c r="H36" i="33"/>
  <c r="K34" i="33"/>
  <c r="J34" i="33"/>
  <c r="B13" i="33" s="1"/>
  <c r="D13" i="33" s="1"/>
  <c r="F20" i="33"/>
  <c r="H19" i="33"/>
  <c r="I19" i="33" s="1"/>
  <c r="L8" i="33"/>
  <c r="L7" i="33"/>
  <c r="D22" i="28"/>
  <c r="D15" i="28"/>
  <c r="D12" i="28"/>
  <c r="D27" i="28"/>
  <c r="D4" i="28"/>
  <c r="D28" i="28"/>
  <c r="D6" i="28"/>
  <c r="D9" i="28"/>
  <c r="D5" i="28"/>
  <c r="L8" i="28"/>
  <c r="L9" i="28"/>
  <c r="D4" i="32"/>
  <c r="E43" i="28"/>
  <c r="D41" i="28"/>
  <c r="B36" i="28"/>
  <c r="J34" i="28" s="1"/>
  <c r="H34" i="28"/>
  <c r="K32" i="28"/>
  <c r="J32" i="28"/>
  <c r="B13" i="28" s="1"/>
  <c r="H4" i="28" s="1"/>
  <c r="B24" i="28"/>
  <c r="D24" i="28" s="1"/>
  <c r="F20" i="28"/>
  <c r="B19" i="28"/>
  <c r="D19" i="28" s="1"/>
  <c r="H18" i="28"/>
  <c r="I18" i="28" s="1"/>
  <c r="B18" i="28"/>
  <c r="D18" i="28" s="1"/>
  <c r="B17" i="28"/>
  <c r="D17" i="28" s="1"/>
  <c r="B11" i="28"/>
  <c r="D11" i="28" s="1"/>
  <c r="B10" i="28"/>
  <c r="D10" i="28" s="1"/>
  <c r="B8" i="28"/>
  <c r="D8" i="28" s="1"/>
  <c r="B7" i="28"/>
  <c r="D7" i="28" s="1"/>
  <c r="B4" i="28"/>
  <c r="B3" i="28"/>
  <c r="D3" i="28" s="1"/>
  <c r="B5" i="32"/>
  <c r="B7" i="32" s="1"/>
  <c r="D7" i="32" s="1"/>
  <c r="C9" i="32"/>
  <c r="B15" i="32"/>
  <c r="H18" i="30"/>
  <c r="I18" i="30" s="1"/>
  <c r="F20" i="30"/>
  <c r="D26" i="30"/>
  <c r="D22" i="30"/>
  <c r="D16" i="30"/>
  <c r="D21" i="30"/>
  <c r="D6" i="30"/>
  <c r="D9" i="30"/>
  <c r="D5" i="30"/>
  <c r="D27" i="30"/>
  <c r="B19" i="30"/>
  <c r="D19" i="30" s="1"/>
  <c r="B18" i="30"/>
  <c r="D18" i="30" s="1"/>
  <c r="B17" i="30"/>
  <c r="D17" i="30" s="1"/>
  <c r="D23" i="29"/>
  <c r="D16" i="29"/>
  <c r="D12" i="29"/>
  <c r="D2" i="29"/>
  <c r="D9" i="29"/>
  <c r="D25" i="29"/>
  <c r="D22" i="29"/>
  <c r="D15" i="29"/>
  <c r="D24" i="29"/>
  <c r="D5" i="29"/>
  <c r="D6" i="29"/>
  <c r="G9" i="29"/>
  <c r="D21" i="29"/>
  <c r="B35" i="30"/>
  <c r="J33" i="30" s="1"/>
  <c r="H33" i="30"/>
  <c r="K31" i="30"/>
  <c r="J31" i="30"/>
  <c r="B13" i="30" s="1"/>
  <c r="I31" i="30" s="1"/>
  <c r="B11" i="30"/>
  <c r="D11" i="30" s="1"/>
  <c r="B10" i="30"/>
  <c r="D10" i="30" s="1"/>
  <c r="B8" i="30"/>
  <c r="D8" i="30" s="1"/>
  <c r="B7" i="30"/>
  <c r="D7" i="30" s="1"/>
  <c r="B4" i="30"/>
  <c r="D4" i="30" s="1"/>
  <c r="B3" i="30"/>
  <c r="D3" i="30" s="1"/>
  <c r="B19" i="29"/>
  <c r="D19" i="29" s="1"/>
  <c r="B18" i="29"/>
  <c r="D18" i="29" s="1"/>
  <c r="B17" i="29"/>
  <c r="D17" i="29" s="1"/>
  <c r="B7" i="29"/>
  <c r="D7" i="29" s="1"/>
  <c r="D2" i="27"/>
  <c r="D12" i="27"/>
  <c r="B19" i="27"/>
  <c r="D19" i="27" s="1"/>
  <c r="B18" i="27"/>
  <c r="D18" i="27" s="1"/>
  <c r="B17" i="27"/>
  <c r="D17" i="27" s="1"/>
  <c r="D23" i="27"/>
  <c r="D27" i="27"/>
  <c r="D26" i="27"/>
  <c r="D16" i="27"/>
  <c r="D15" i="27"/>
  <c r="D25" i="27"/>
  <c r="D22" i="27"/>
  <c r="E41" i="29"/>
  <c r="D39" i="29"/>
  <c r="B34" i="29"/>
  <c r="J32" i="29" s="1"/>
  <c r="H32" i="29"/>
  <c r="K30" i="29"/>
  <c r="J30" i="29"/>
  <c r="B13" i="29" s="1"/>
  <c r="B27" i="29"/>
  <c r="D27" i="29" s="1"/>
  <c r="B11" i="29"/>
  <c r="D11" i="29" s="1"/>
  <c r="B10" i="29"/>
  <c r="D10" i="29" s="1"/>
  <c r="B8" i="29"/>
  <c r="D8" i="29" s="1"/>
  <c r="B3" i="29"/>
  <c r="D3" i="29" s="1"/>
  <c r="D29" i="27"/>
  <c r="D21" i="27"/>
  <c r="D6" i="27"/>
  <c r="D7" i="27"/>
  <c r="D9" i="27"/>
  <c r="D5" i="27"/>
  <c r="B7" i="26"/>
  <c r="D7" i="26" s="1"/>
  <c r="D20" i="26"/>
  <c r="D28" i="25"/>
  <c r="D24" i="25"/>
  <c r="D2" i="25"/>
  <c r="D12" i="25"/>
  <c r="D16" i="25"/>
  <c r="B11" i="25"/>
  <c r="D17" i="25"/>
  <c r="D3" i="26"/>
  <c r="D16" i="26"/>
  <c r="I38" i="26"/>
  <c r="D19" i="26"/>
  <c r="D9" i="26"/>
  <c r="D10" i="26"/>
  <c r="D2" i="26"/>
  <c r="D4" i="26"/>
  <c r="E43" i="27"/>
  <c r="D41" i="27"/>
  <c r="B36" i="27"/>
  <c r="B14" i="27" s="1"/>
  <c r="D14" i="27" s="1"/>
  <c r="H34" i="27"/>
  <c r="K32" i="27"/>
  <c r="J32" i="27"/>
  <c r="B13" i="27" s="1"/>
  <c r="D13" i="27" s="1"/>
  <c r="B11" i="27"/>
  <c r="D11" i="27" s="1"/>
  <c r="B10" i="27"/>
  <c r="D10" i="27" s="1"/>
  <c r="B8" i="27"/>
  <c r="G6" i="27" s="1"/>
  <c r="B3" i="27"/>
  <c r="D3" i="27" s="1"/>
  <c r="E40" i="26"/>
  <c r="D38" i="26"/>
  <c r="H33" i="26"/>
  <c r="B33" i="26"/>
  <c r="J31" i="26" s="1"/>
  <c r="H31" i="26"/>
  <c r="K29" i="26"/>
  <c r="J29" i="26"/>
  <c r="D22" i="25"/>
  <c r="D6" i="25"/>
  <c r="D7" i="25"/>
  <c r="D9" i="25"/>
  <c r="D5" i="25"/>
  <c r="F7" i="25"/>
  <c r="G4" i="25"/>
  <c r="D23" i="25"/>
  <c r="D27" i="25"/>
  <c r="D26" i="25"/>
  <c r="B20" i="25"/>
  <c r="D20" i="25" s="1"/>
  <c r="B19" i="25"/>
  <c r="D19" i="25" s="1"/>
  <c r="B18" i="25"/>
  <c r="D18" i="25" s="1"/>
  <c r="D11" i="24"/>
  <c r="H35" i="25"/>
  <c r="E42" i="25"/>
  <c r="D40" i="25"/>
  <c r="B35" i="25"/>
  <c r="B15" i="25" s="1"/>
  <c r="D15" i="25" s="1"/>
  <c r="H33" i="25"/>
  <c r="K31" i="25"/>
  <c r="J31" i="25"/>
  <c r="B13" i="25" s="1"/>
  <c r="F32" i="25" s="1"/>
  <c r="F24" i="25"/>
  <c r="J19" i="25"/>
  <c r="B10" i="25"/>
  <c r="D10" i="25" s="1"/>
  <c r="B8" i="25"/>
  <c r="E31" i="25" s="1"/>
  <c r="B3" i="25"/>
  <c r="D3" i="25" s="1"/>
  <c r="F25" i="24"/>
  <c r="D16" i="24"/>
  <c r="D29" i="24"/>
  <c r="B19" i="24"/>
  <c r="D19" i="24" s="1"/>
  <c r="B18" i="24"/>
  <c r="D18" i="24" s="1"/>
  <c r="B17" i="24"/>
  <c r="D17" i="24" s="1"/>
  <c r="J18" i="24"/>
  <c r="K34" i="24"/>
  <c r="J34" i="24"/>
  <c r="B12" i="24" s="1"/>
  <c r="D12" i="24" s="1"/>
  <c r="D21" i="24"/>
  <c r="D6" i="24"/>
  <c r="D7" i="24"/>
  <c r="D5" i="24"/>
  <c r="H11" i="23"/>
  <c r="H9" i="23"/>
  <c r="E45" i="24"/>
  <c r="D43" i="24"/>
  <c r="B38" i="24"/>
  <c r="B13" i="24" s="1"/>
  <c r="D13" i="24" s="1"/>
  <c r="H36" i="24"/>
  <c r="B10" i="24"/>
  <c r="D10" i="24" s="1"/>
  <c r="B9" i="24"/>
  <c r="D9" i="24" s="1"/>
  <c r="B8" i="24"/>
  <c r="B3" i="24"/>
  <c r="D3" i="24" s="1"/>
  <c r="J7" i="23"/>
  <c r="D21" i="23"/>
  <c r="D10" i="23"/>
  <c r="D2" i="23"/>
  <c r="H26" i="23" s="1"/>
  <c r="B44" i="23"/>
  <c r="D25" i="23"/>
  <c r="D22" i="23"/>
  <c r="B24" i="23"/>
  <c r="D24" i="23" s="1"/>
  <c r="D16" i="23"/>
  <c r="D6" i="23"/>
  <c r="D7" i="23"/>
  <c r="D5" i="23"/>
  <c r="H35" i="23"/>
  <c r="B18" i="23"/>
  <c r="D18" i="23" s="1"/>
  <c r="A40" i="23"/>
  <c r="E39" i="23"/>
  <c r="D37" i="23"/>
  <c r="I32" i="23"/>
  <c r="B32" i="23"/>
  <c r="J30" i="23" s="1"/>
  <c r="H30" i="23"/>
  <c r="J28" i="23"/>
  <c r="B12" i="23" s="1"/>
  <c r="D12" i="23" s="1"/>
  <c r="B19" i="23"/>
  <c r="D19" i="23" s="1"/>
  <c r="B17" i="23"/>
  <c r="D17" i="23" s="1"/>
  <c r="B10" i="23"/>
  <c r="B9" i="23"/>
  <c r="D9" i="23" s="1"/>
  <c r="B8" i="23"/>
  <c r="D8" i="23" s="1"/>
  <c r="B3" i="23"/>
  <c r="D3" i="23" s="1"/>
  <c r="D15" i="22"/>
  <c r="D18" i="22"/>
  <c r="D22" i="22"/>
  <c r="D19" i="22"/>
  <c r="D17" i="22"/>
  <c r="J20" i="22"/>
  <c r="D25" i="22"/>
  <c r="D23" i="22"/>
  <c r="D16" i="22"/>
  <c r="D10" i="22"/>
  <c r="D6" i="22"/>
  <c r="D7" i="22"/>
  <c r="D5" i="22"/>
  <c r="B8" i="22"/>
  <c r="E33" i="22" s="1"/>
  <c r="D24" i="22"/>
  <c r="B19" i="22"/>
  <c r="B18" i="22"/>
  <c r="B11" i="22"/>
  <c r="B14" i="25" l="1"/>
  <c r="D14" i="25" s="1"/>
  <c r="F6" i="33"/>
  <c r="B14" i="24"/>
  <c r="D14" i="24" s="1"/>
  <c r="J36" i="24"/>
  <c r="L10" i="28"/>
  <c r="F14" i="32"/>
  <c r="D8" i="27"/>
  <c r="B27" i="34"/>
  <c r="C27" i="34" s="1"/>
  <c r="F34" i="24"/>
  <c r="B26" i="24"/>
  <c r="D26" i="24" s="1"/>
  <c r="B30" i="24"/>
  <c r="D30" i="24" s="1"/>
  <c r="F4" i="40"/>
  <c r="D21" i="34"/>
  <c r="C17" i="42"/>
  <c r="G5" i="42"/>
  <c r="E14" i="42" s="1"/>
  <c r="G14" i="42" s="1"/>
  <c r="G16" i="42" s="1"/>
  <c r="B31" i="26"/>
  <c r="F34" i="26" s="1"/>
  <c r="B13" i="37"/>
  <c r="E15" i="25"/>
  <c r="D20" i="34"/>
  <c r="C7" i="42"/>
  <c r="F7" i="42"/>
  <c r="F5" i="42"/>
  <c r="H33" i="42"/>
  <c r="E13" i="42"/>
  <c r="B29" i="42"/>
  <c r="C29" i="42" s="1"/>
  <c r="G36" i="42"/>
  <c r="I35" i="42"/>
  <c r="C6" i="34"/>
  <c r="C22" i="34"/>
  <c r="I9" i="23"/>
  <c r="J9" i="23" s="1"/>
  <c r="E34" i="24"/>
  <c r="F6" i="25"/>
  <c r="D13" i="25"/>
  <c r="B4" i="29"/>
  <c r="G4" i="30"/>
  <c r="B47" i="23"/>
  <c r="D47" i="23" s="1"/>
  <c r="D8" i="22"/>
  <c r="B13" i="23"/>
  <c r="D13" i="23" s="1"/>
  <c r="B46" i="23"/>
  <c r="F5" i="25"/>
  <c r="D8" i="25"/>
  <c r="H36" i="27"/>
  <c r="B26" i="29"/>
  <c r="D26" i="29" s="1"/>
  <c r="H4" i="30"/>
  <c r="D13" i="30"/>
  <c r="B25" i="28"/>
  <c r="D25" i="28" s="1"/>
  <c r="F8" i="33"/>
  <c r="C11" i="40"/>
  <c r="D8" i="24"/>
  <c r="F11" i="26"/>
  <c r="D11" i="25"/>
  <c r="B24" i="27"/>
  <c r="D24" i="27" s="1"/>
  <c r="B31" i="27" s="1"/>
  <c r="G5" i="28"/>
  <c r="B30" i="40"/>
  <c r="C30" i="40" s="1"/>
  <c r="H34" i="40"/>
  <c r="G4" i="40"/>
  <c r="E13" i="40" s="1"/>
  <c r="G13" i="40" s="1"/>
  <c r="G15" i="40" s="1"/>
  <c r="E12" i="40"/>
  <c r="I36" i="40"/>
  <c r="G38" i="40"/>
  <c r="H4" i="40"/>
  <c r="F6" i="40"/>
  <c r="E11" i="41"/>
  <c r="E12" i="41" s="1"/>
  <c r="E13" i="41"/>
  <c r="G13" i="41" s="1"/>
  <c r="G15" i="41" s="1"/>
  <c r="B17" i="41"/>
  <c r="C17" i="41" s="1"/>
  <c r="H35" i="41"/>
  <c r="G4" i="41"/>
  <c r="I37" i="41"/>
  <c r="G39" i="41"/>
  <c r="B31" i="41"/>
  <c r="C31" i="41" s="1"/>
  <c r="F4" i="41"/>
  <c r="F6" i="41"/>
  <c r="L10" i="33"/>
  <c r="H32" i="34"/>
  <c r="G4" i="34"/>
  <c r="K13" i="34"/>
  <c r="F4" i="34"/>
  <c r="G36" i="34"/>
  <c r="F6" i="34"/>
  <c r="B17" i="34"/>
  <c r="B29" i="33"/>
  <c r="D29" i="33" s="1"/>
  <c r="G5" i="33"/>
  <c r="H38" i="33"/>
  <c r="G4" i="33"/>
  <c r="B14" i="33"/>
  <c r="D14" i="33" s="1"/>
  <c r="I34" i="33"/>
  <c r="H4" i="33"/>
  <c r="D13" i="28"/>
  <c r="G4" i="28"/>
  <c r="I4" i="28" s="1"/>
  <c r="H36" i="28"/>
  <c r="I32" i="28"/>
  <c r="B14" i="28"/>
  <c r="D13" i="29"/>
  <c r="G6" i="29"/>
  <c r="D4" i="29"/>
  <c r="H35" i="30"/>
  <c r="B14" i="30"/>
  <c r="D14" i="30" s="1"/>
  <c r="B24" i="30"/>
  <c r="D24" i="30" s="1"/>
  <c r="H34" i="29"/>
  <c r="B14" i="29"/>
  <c r="I30" i="29"/>
  <c r="E8" i="26"/>
  <c r="E5" i="26"/>
  <c r="I29" i="26" s="1"/>
  <c r="B28" i="26"/>
  <c r="I32" i="27"/>
  <c r="J34" i="27"/>
  <c r="B4" i="25"/>
  <c r="B25" i="25"/>
  <c r="J33" i="25"/>
  <c r="I31" i="25"/>
  <c r="F31" i="25"/>
  <c r="I34" i="24"/>
  <c r="B39" i="24"/>
  <c r="B40" i="24" s="1"/>
  <c r="F35" i="24"/>
  <c r="F29" i="23"/>
  <c r="B4" i="23"/>
  <c r="B14" i="23"/>
  <c r="D14" i="23" s="1"/>
  <c r="A44" i="22"/>
  <c r="E43" i="22"/>
  <c r="D41" i="22"/>
  <c r="I36" i="22"/>
  <c r="B36" i="22"/>
  <c r="B4" i="22" s="1"/>
  <c r="D4" i="22" s="1"/>
  <c r="H34" i="22"/>
  <c r="J32" i="22"/>
  <c r="H30" i="22"/>
  <c r="F21" i="22"/>
  <c r="B17" i="22"/>
  <c r="B9" i="22"/>
  <c r="D9" i="22" s="1"/>
  <c r="B3" i="22"/>
  <c r="B17" i="21"/>
  <c r="B16" i="21"/>
  <c r="D6" i="21"/>
  <c r="D7" i="21"/>
  <c r="D5" i="21"/>
  <c r="A37" i="21"/>
  <c r="D15" i="21"/>
  <c r="E36" i="21"/>
  <c r="D34" i="21"/>
  <c r="I29" i="21"/>
  <c r="B29" i="21"/>
  <c r="J27" i="21" s="1"/>
  <c r="H27" i="21"/>
  <c r="J25" i="21"/>
  <c r="B12" i="21" s="1"/>
  <c r="D12" i="21" s="1"/>
  <c r="F19" i="21"/>
  <c r="B13" i="21"/>
  <c r="D13" i="21" s="1"/>
  <c r="F9" i="21"/>
  <c r="B9" i="21"/>
  <c r="D9" i="21" s="1"/>
  <c r="B8" i="21"/>
  <c r="E26" i="21" s="1"/>
  <c r="B3" i="21"/>
  <c r="D3" i="21" s="1"/>
  <c r="H23" i="21"/>
  <c r="D2" i="20"/>
  <c r="D15" i="20"/>
  <c r="D14" i="20"/>
  <c r="B4" i="20"/>
  <c r="D6" i="20"/>
  <c r="D7" i="20"/>
  <c r="D5" i="20"/>
  <c r="B3" i="20"/>
  <c r="D3" i="20" s="1"/>
  <c r="E32" i="20"/>
  <c r="D30" i="20"/>
  <c r="I25" i="20"/>
  <c r="B25" i="20"/>
  <c r="B18" i="20" s="1"/>
  <c r="D18" i="20" s="1"/>
  <c r="H23" i="20"/>
  <c r="J21" i="20"/>
  <c r="B12" i="20" s="1"/>
  <c r="G6" i="20" s="1"/>
  <c r="F17" i="20"/>
  <c r="F9" i="20"/>
  <c r="B9" i="20"/>
  <c r="B8" i="20"/>
  <c r="E22" i="20" s="1"/>
  <c r="H19" i="20"/>
  <c r="D2" i="19"/>
  <c r="D10" i="19"/>
  <c r="D11" i="19"/>
  <c r="B34" i="34" l="1"/>
  <c r="F13" i="29"/>
  <c r="B33" i="30"/>
  <c r="F36" i="30" s="1"/>
  <c r="H5" i="42"/>
  <c r="B33" i="24"/>
  <c r="B33" i="25"/>
  <c r="B14" i="22"/>
  <c r="D14" i="22" s="1"/>
  <c r="B13" i="22"/>
  <c r="D13" i="22" s="1"/>
  <c r="B36" i="24"/>
  <c r="F39" i="24" s="1"/>
  <c r="F40" i="24" s="1"/>
  <c r="B35" i="42"/>
  <c r="E37" i="42" s="1"/>
  <c r="E16" i="42"/>
  <c r="D8" i="20"/>
  <c r="B34" i="41"/>
  <c r="B30" i="30"/>
  <c r="B4" i="21"/>
  <c r="G9" i="21" s="1"/>
  <c r="B34" i="27"/>
  <c r="F37" i="27" s="1"/>
  <c r="F38" i="27" s="1"/>
  <c r="B52" i="23"/>
  <c r="I4" i="30"/>
  <c r="B33" i="40"/>
  <c r="B32" i="42"/>
  <c r="D4" i="23"/>
  <c r="B27" i="23" s="1"/>
  <c r="E10" i="23"/>
  <c r="F4" i="25"/>
  <c r="G5" i="25" s="1"/>
  <c r="D25" i="25"/>
  <c r="B30" i="25" s="1"/>
  <c r="D26" i="21"/>
  <c r="F26" i="21" s="1"/>
  <c r="D8" i="21"/>
  <c r="B24" i="21" s="1"/>
  <c r="D3" i="22"/>
  <c r="B33" i="23"/>
  <c r="B34" i="23" s="1"/>
  <c r="B30" i="23"/>
  <c r="F33" i="23" s="1"/>
  <c r="D12" i="20"/>
  <c r="B27" i="21"/>
  <c r="F30" i="21" s="1"/>
  <c r="F31" i="21" s="1"/>
  <c r="H4" i="41"/>
  <c r="B37" i="41"/>
  <c r="B38" i="41" s="1"/>
  <c r="B36" i="40"/>
  <c r="E15" i="40"/>
  <c r="E14" i="41"/>
  <c r="E37" i="34"/>
  <c r="E38" i="34" s="1"/>
  <c r="C17" i="34"/>
  <c r="B31" i="34" s="1"/>
  <c r="B33" i="33"/>
  <c r="H4" i="34"/>
  <c r="B36" i="33"/>
  <c r="I4" i="33"/>
  <c r="B34" i="28"/>
  <c r="F37" i="28" s="1"/>
  <c r="D14" i="28"/>
  <c r="B31" i="28" s="1"/>
  <c r="B32" i="29"/>
  <c r="F35" i="29" s="1"/>
  <c r="F36" i="29" s="1"/>
  <c r="D14" i="29"/>
  <c r="B29" i="29" s="1"/>
  <c r="H6" i="29"/>
  <c r="G8" i="29"/>
  <c r="F29" i="26"/>
  <c r="F30" i="26"/>
  <c r="B34" i="24"/>
  <c r="D34" i="24" s="1"/>
  <c r="I28" i="23"/>
  <c r="J34" i="22"/>
  <c r="C27" i="21"/>
  <c r="C29" i="21" s="1"/>
  <c r="I25" i="21"/>
  <c r="G6" i="21"/>
  <c r="B30" i="21"/>
  <c r="B31" i="21" s="1"/>
  <c r="G8" i="21"/>
  <c r="G9" i="20"/>
  <c r="B13" i="20"/>
  <c r="D13" i="20" s="1"/>
  <c r="I21" i="20"/>
  <c r="J23" i="20"/>
  <c r="D22" i="20"/>
  <c r="F22" i="20" s="1"/>
  <c r="C34" i="27" l="1"/>
  <c r="D33" i="22"/>
  <c r="B34" i="22"/>
  <c r="B37" i="22"/>
  <c r="B38" i="22" s="1"/>
  <c r="F33" i="22"/>
  <c r="B31" i="30"/>
  <c r="B35" i="27"/>
  <c r="I32" i="22"/>
  <c r="B32" i="27"/>
  <c r="D32" i="27" s="1"/>
  <c r="F32" i="27" s="1"/>
  <c r="B34" i="40"/>
  <c r="C36" i="24"/>
  <c r="C38" i="24" s="1"/>
  <c r="B37" i="24"/>
  <c r="G39" i="24"/>
  <c r="B37" i="40"/>
  <c r="B44" i="42"/>
  <c r="B35" i="41"/>
  <c r="B25" i="21"/>
  <c r="E40" i="41"/>
  <c r="E41" i="41" s="1"/>
  <c r="B28" i="21"/>
  <c r="B36" i="42"/>
  <c r="B45" i="42" s="1"/>
  <c r="E38" i="42"/>
  <c r="B33" i="42"/>
  <c r="N35" i="42" s="1"/>
  <c r="N37" i="42" s="1"/>
  <c r="C34" i="22"/>
  <c r="C36" i="22" s="1"/>
  <c r="F37" i="22"/>
  <c r="F38" i="22" s="1"/>
  <c r="C25" i="21"/>
  <c r="C32" i="29"/>
  <c r="E39" i="40"/>
  <c r="B23" i="20"/>
  <c r="F26" i="20" s="1"/>
  <c r="B33" i="29"/>
  <c r="B31" i="22"/>
  <c r="B32" i="22" s="1"/>
  <c r="C32" i="22" s="1"/>
  <c r="B32" i="34"/>
  <c r="C32" i="34" s="1"/>
  <c r="E32" i="34" s="1"/>
  <c r="B35" i="34"/>
  <c r="F39" i="33"/>
  <c r="F40" i="33" s="1"/>
  <c r="C36" i="33"/>
  <c r="B34" i="33"/>
  <c r="B37" i="33"/>
  <c r="F38" i="28"/>
  <c r="B35" i="28"/>
  <c r="B32" i="28"/>
  <c r="C34" i="28"/>
  <c r="B30" i="29"/>
  <c r="D30" i="29" s="1"/>
  <c r="F30" i="29" s="1"/>
  <c r="B34" i="30"/>
  <c r="C33" i="30"/>
  <c r="F37" i="30"/>
  <c r="C33" i="25"/>
  <c r="F36" i="25"/>
  <c r="F37" i="25" s="1"/>
  <c r="B34" i="25"/>
  <c r="B31" i="25"/>
  <c r="F34" i="23"/>
  <c r="C30" i="23"/>
  <c r="C32" i="23" s="1"/>
  <c r="B28" i="23"/>
  <c r="D28" i="23" s="1"/>
  <c r="B31" i="23"/>
  <c r="B35" i="22"/>
  <c r="G10" i="21"/>
  <c r="F27" i="20"/>
  <c r="B20" i="20"/>
  <c r="B26" i="20"/>
  <c r="B27" i="20" s="1"/>
  <c r="G8" i="20"/>
  <c r="G10" i="20" s="1"/>
  <c r="B3" i="19"/>
  <c r="D3" i="19" s="1"/>
  <c r="C34" i="40" l="1"/>
  <c r="E34" i="40" s="1"/>
  <c r="C35" i="41"/>
  <c r="E35" i="41" s="1"/>
  <c r="C33" i="42"/>
  <c r="B24" i="20"/>
  <c r="B21" i="20"/>
  <c r="C21" i="20" s="1"/>
  <c r="E40" i="40"/>
  <c r="C23" i="20"/>
  <c r="C25" i="20" s="1"/>
  <c r="D34" i="33"/>
  <c r="F34" i="33" s="1"/>
  <c r="D32" i="28"/>
  <c r="F32" i="28" s="1"/>
  <c r="D31" i="30"/>
  <c r="F31" i="30" s="1"/>
  <c r="D31" i="25"/>
  <c r="D6" i="19"/>
  <c r="D7" i="19"/>
  <c r="D5" i="19"/>
  <c r="B4" i="19" l="1"/>
  <c r="D4" i="19" s="1"/>
  <c r="I25" i="19"/>
  <c r="B25" i="19"/>
  <c r="J23" i="19" s="1"/>
  <c r="H23" i="19"/>
  <c r="J21" i="19"/>
  <c r="B12" i="19" s="1"/>
  <c r="F9" i="19"/>
  <c r="B9" i="19"/>
  <c r="D9" i="19" s="1"/>
  <c r="B8" i="19"/>
  <c r="F16" i="19"/>
  <c r="B17" i="19" l="1"/>
  <c r="B13" i="19"/>
  <c r="D13" i="19" s="1"/>
  <c r="D12" i="19"/>
  <c r="E22" i="19"/>
  <c r="D8" i="19"/>
  <c r="D22" i="19"/>
  <c r="G6" i="19"/>
  <c r="H19" i="19"/>
  <c r="G9" i="19"/>
  <c r="I21" i="19"/>
  <c r="D2" i="18"/>
  <c r="D3" i="18"/>
  <c r="B2" i="18"/>
  <c r="B23" i="19" l="1"/>
  <c r="B24" i="19" s="1"/>
  <c r="B20" i="19"/>
  <c r="G8" i="19"/>
  <c r="G10" i="19" s="1"/>
  <c r="B26" i="19"/>
  <c r="B27" i="19" s="1"/>
  <c r="F22" i="19"/>
  <c r="D7" i="18"/>
  <c r="F26" i="19" l="1"/>
  <c r="F27" i="19" s="1"/>
  <c r="C23" i="19"/>
  <c r="C25" i="19" s="1"/>
  <c r="B21" i="19"/>
  <c r="C21" i="19"/>
  <c r="D6" i="18"/>
  <c r="D5" i="18"/>
  <c r="B8" i="18"/>
  <c r="D17" i="18"/>
  <c r="I18" i="18"/>
  <c r="J18" i="18" s="1"/>
  <c r="B15" i="18"/>
  <c r="B16" i="18"/>
  <c r="B4" i="18"/>
  <c r="I30" i="18"/>
  <c r="B30" i="18"/>
  <c r="J28" i="18" s="1"/>
  <c r="H28" i="18"/>
  <c r="J26" i="18"/>
  <c r="B12" i="18" s="1"/>
  <c r="B21" i="18"/>
  <c r="D21" i="18" s="1"/>
  <c r="B9" i="18"/>
  <c r="D9" i="18" s="1"/>
  <c r="H24" i="18"/>
  <c r="B22" i="18" l="1"/>
  <c r="D8" i="18"/>
  <c r="D12" i="18"/>
  <c r="G6" i="18"/>
  <c r="G9" i="18"/>
  <c r="D4" i="18"/>
  <c r="F18" i="18" s="1"/>
  <c r="F20" i="18" s="1"/>
  <c r="B13" i="18"/>
  <c r="F27" i="18" s="1"/>
  <c r="F9" i="18"/>
  <c r="C30" i="18"/>
  <c r="I26" i="18"/>
  <c r="D27" i="18"/>
  <c r="D16" i="17"/>
  <c r="D3" i="17"/>
  <c r="G8" i="18" l="1"/>
  <c r="G10" i="18" s="1"/>
  <c r="D13" i="18"/>
  <c r="B25" i="18" s="1"/>
  <c r="B31" i="18"/>
  <c r="B32" i="18" s="1"/>
  <c r="B28" i="18"/>
  <c r="D11" i="17"/>
  <c r="B26" i="18" l="1"/>
  <c r="F31" i="18"/>
  <c r="F32" i="18" s="1"/>
  <c r="B29" i="18"/>
  <c r="G18" i="18"/>
  <c r="D4" i="17"/>
  <c r="C26" i="18" l="1"/>
  <c r="B21" i="17" l="1"/>
  <c r="D9" i="17" l="1"/>
  <c r="D8" i="17"/>
  <c r="D7" i="17" l="1"/>
  <c r="D6" i="17"/>
  <c r="B10" i="17"/>
  <c r="D10" i="17" s="1"/>
  <c r="D20" i="16"/>
  <c r="D16" i="16"/>
  <c r="D3" i="16"/>
  <c r="D12" i="16" l="1"/>
  <c r="B15" i="17" l="1"/>
  <c r="D11" i="16"/>
  <c r="B30" i="17" l="1"/>
  <c r="J28" i="17" s="1"/>
  <c r="H28" i="17"/>
  <c r="E27" i="17"/>
  <c r="E29" i="17" s="1"/>
  <c r="J26" i="17"/>
  <c r="B13" i="17" s="1"/>
  <c r="B22" i="17"/>
  <c r="B16" i="17"/>
  <c r="C16" i="17" s="1"/>
  <c r="H24" i="17"/>
  <c r="D22" i="17" l="1"/>
  <c r="D13" i="17"/>
  <c r="C27" i="17"/>
  <c r="B14" i="17"/>
  <c r="D14" i="17" s="1"/>
  <c r="B5" i="17"/>
  <c r="D5" i="17" s="1"/>
  <c r="F18" i="17" s="1"/>
  <c r="F20" i="17" s="1"/>
  <c r="G4" i="17"/>
  <c r="I4" i="17" s="1"/>
  <c r="J4" i="17" s="1"/>
  <c r="B24" i="17"/>
  <c r="I26" i="17"/>
  <c r="D27" i="17"/>
  <c r="D5" i="16"/>
  <c r="F27" i="17" l="1"/>
  <c r="B31" i="17"/>
  <c r="B32" i="17" s="1"/>
  <c r="G18" i="17"/>
  <c r="B28" i="17"/>
  <c r="B29" i="17" s="1"/>
  <c r="B25" i="17"/>
  <c r="D9" i="16"/>
  <c r="D8" i="16"/>
  <c r="D7" i="16"/>
  <c r="D6" i="16"/>
  <c r="B26" i="17" l="1"/>
  <c r="F31" i="17"/>
  <c r="F32" i="17" s="1"/>
  <c r="C28" i="17"/>
  <c r="C30" i="17" s="1"/>
  <c r="D4" i="16"/>
  <c r="B21" i="16"/>
  <c r="B16" i="16"/>
  <c r="B30" i="16"/>
  <c r="J28" i="16" s="1"/>
  <c r="H28" i="16"/>
  <c r="E28" i="16"/>
  <c r="E27" i="16"/>
  <c r="J26" i="16"/>
  <c r="B13" i="16" s="1"/>
  <c r="F18" i="16"/>
  <c r="F20" i="16" s="1"/>
  <c r="H24" i="16"/>
  <c r="D13" i="16" l="1"/>
  <c r="B25" i="16" s="1"/>
  <c r="B28" i="16"/>
  <c r="B29" i="16" s="1"/>
  <c r="B22" i="16"/>
  <c r="D22" i="16" s="1"/>
  <c r="B31" i="16"/>
  <c r="B32" i="16" s="1"/>
  <c r="C27" i="16"/>
  <c r="G18" i="16"/>
  <c r="I26" i="16"/>
  <c r="D27" i="16"/>
  <c r="F27" i="16"/>
  <c r="D12" i="15"/>
  <c r="D16" i="15"/>
  <c r="D3" i="15"/>
  <c r="B26" i="16" l="1"/>
  <c r="B24" i="16"/>
  <c r="E31" i="16" s="1"/>
  <c r="C28" i="16" l="1"/>
  <c r="C30" i="16" s="1"/>
  <c r="D4" i="15"/>
  <c r="D11" i="15" l="1"/>
  <c r="D10" i="15" l="1"/>
  <c r="D18" i="15" l="1"/>
  <c r="D7" i="15"/>
  <c r="D8" i="15"/>
  <c r="D9" i="15"/>
  <c r="D6" i="15"/>
  <c r="E24" i="15" l="1"/>
  <c r="B27" i="15" l="1"/>
  <c r="H25" i="15"/>
  <c r="E25" i="15"/>
  <c r="J23" i="15"/>
  <c r="B13" i="15" s="1"/>
  <c r="B16" i="15"/>
  <c r="B14" i="15"/>
  <c r="D14" i="15" s="1"/>
  <c r="H21" i="15"/>
  <c r="J25" i="15" l="1"/>
  <c r="B19" i="15"/>
  <c r="D13" i="15"/>
  <c r="B5" i="15"/>
  <c r="D5" i="15" s="1"/>
  <c r="F16" i="15" s="1"/>
  <c r="F18" i="15" s="1"/>
  <c r="I23" i="15"/>
  <c r="D24" i="15"/>
  <c r="D11" i="14"/>
  <c r="D12" i="14"/>
  <c r="D18" i="14"/>
  <c r="B25" i="15" l="1"/>
  <c r="B26" i="15" s="1"/>
  <c r="G16" i="15"/>
  <c r="B22" i="15"/>
  <c r="F24" i="15"/>
  <c r="D19" i="15"/>
  <c r="B21" i="15"/>
  <c r="B28" i="15"/>
  <c r="B29" i="15" s="1"/>
  <c r="D3" i="14"/>
  <c r="B23" i="15" l="1"/>
  <c r="C25" i="15"/>
  <c r="C27" i="15" s="1"/>
  <c r="E28" i="15"/>
  <c r="D5" i="14"/>
  <c r="D16" i="14"/>
  <c r="D4" i="14"/>
  <c r="F16" i="14" l="1"/>
  <c r="F18" i="14" s="1"/>
  <c r="D7" i="14"/>
  <c r="D8" i="14"/>
  <c r="D9" i="14"/>
  <c r="D6" i="14"/>
  <c r="F24" i="14"/>
  <c r="D10" i="14"/>
  <c r="B16" i="14"/>
  <c r="B27" i="14" l="1"/>
  <c r="H25" i="14"/>
  <c r="E25" i="14"/>
  <c r="J23" i="14"/>
  <c r="B13" i="14" s="1"/>
  <c r="B21" i="14"/>
  <c r="B14" i="14"/>
  <c r="D14" i="14" s="1"/>
  <c r="G16" i="14" s="1"/>
  <c r="D13" i="14" l="1"/>
  <c r="B22" i="14" s="1"/>
  <c r="B25" i="14"/>
  <c r="C25" i="14" s="1"/>
  <c r="C27" i="14" s="1"/>
  <c r="B28" i="14"/>
  <c r="B29" i="14" s="1"/>
  <c r="H21" i="14"/>
  <c r="I23" i="14"/>
  <c r="D24" i="14"/>
  <c r="E24" i="14" s="1"/>
  <c r="D16" i="13"/>
  <c r="B26" i="14" l="1"/>
  <c r="E28" i="14" s="1"/>
  <c r="B23" i="14"/>
  <c r="D3" i="13"/>
  <c r="D12" i="13"/>
  <c r="D11" i="13"/>
  <c r="D5" i="13" l="1"/>
  <c r="B34" i="13" l="1"/>
  <c r="B20" i="13" s="1"/>
  <c r="D21" i="13" s="1"/>
  <c r="B28" i="13" l="1"/>
  <c r="E21" i="13"/>
  <c r="D7" i="13" l="1"/>
  <c r="D8" i="13"/>
  <c r="D9" i="13"/>
  <c r="D6" i="13"/>
  <c r="D17" i="13" l="1"/>
  <c r="D10" i="13"/>
  <c r="D4" i="13"/>
  <c r="C34" i="13" l="1"/>
  <c r="C33" i="13"/>
  <c r="H32" i="13"/>
  <c r="E32" i="13"/>
  <c r="F31" i="13"/>
  <c r="J30" i="13"/>
  <c r="B13" i="13" s="1"/>
  <c r="B16" i="13"/>
  <c r="B14" i="13"/>
  <c r="G4" i="13"/>
  <c r="F4" i="13"/>
  <c r="B32" i="13" l="1"/>
  <c r="D31" i="13"/>
  <c r="E31" i="13" s="1"/>
  <c r="C32" i="13" s="1"/>
  <c r="D13" i="13"/>
  <c r="B35" i="13"/>
  <c r="B36" i="13" s="1"/>
  <c r="J3" i="13"/>
  <c r="D14" i="13"/>
  <c r="F13" i="13"/>
  <c r="B33" i="13"/>
  <c r="E35" i="13" s="1"/>
  <c r="H28" i="13"/>
  <c r="I30" i="13"/>
  <c r="D11" i="12"/>
  <c r="B29" i="13" l="1"/>
  <c r="B30" i="13" s="1"/>
  <c r="C30" i="13" s="1"/>
  <c r="D3" i="12"/>
  <c r="D16" i="12"/>
  <c r="B14" i="12" l="1"/>
  <c r="D14" i="12" s="1"/>
  <c r="D7" i="12" l="1"/>
  <c r="D8" i="12"/>
  <c r="D9" i="12"/>
  <c r="D6" i="12"/>
  <c r="B3" i="12" l="1"/>
  <c r="D10" i="12"/>
  <c r="D4" i="12"/>
  <c r="E22" i="12" l="1"/>
  <c r="B24" i="12" l="1"/>
  <c r="B5" i="12" s="1"/>
  <c r="D5" i="12" s="1"/>
  <c r="B16" i="12"/>
  <c r="D3" i="11" l="1"/>
  <c r="D11" i="11" l="1"/>
  <c r="C24" i="12" l="1"/>
  <c r="C23" i="12"/>
  <c r="H22" i="12"/>
  <c r="F21" i="12"/>
  <c r="J20" i="12"/>
  <c r="B13" i="12" s="1"/>
  <c r="G4" i="12"/>
  <c r="F4" i="12"/>
  <c r="H18" i="12"/>
  <c r="D16" i="11"/>
  <c r="B22" i="12" l="1"/>
  <c r="B23" i="12" s="1"/>
  <c r="E25" i="12" s="1"/>
  <c r="D13" i="12"/>
  <c r="B19" i="12" s="1"/>
  <c r="J3" i="12"/>
  <c r="I20" i="12"/>
  <c r="D21" i="12"/>
  <c r="E21" i="12" s="1"/>
  <c r="C22" i="12" s="1"/>
  <c r="B20" i="12" l="1"/>
  <c r="C20" i="12" s="1"/>
  <c r="D7" i="11"/>
  <c r="D8" i="11"/>
  <c r="D9" i="11"/>
  <c r="D6" i="11"/>
  <c r="D4" i="11"/>
  <c r="D10" i="11"/>
  <c r="D3" i="10" l="1"/>
  <c r="B14" i="11" l="1"/>
  <c r="D14" i="11" s="1"/>
  <c r="C24" i="11" l="1"/>
  <c r="C23" i="11"/>
  <c r="H22" i="11"/>
  <c r="F21" i="11"/>
  <c r="J20" i="11"/>
  <c r="B13" i="11" s="1"/>
  <c r="D13" i="11" s="1"/>
  <c r="G4" i="11"/>
  <c r="F4" i="11"/>
  <c r="D21" i="11" l="1"/>
  <c r="E21" i="11" s="1"/>
  <c r="J3" i="11"/>
  <c r="B19" i="11"/>
  <c r="H18" i="11"/>
  <c r="I20" i="11"/>
  <c r="B22" i="11"/>
  <c r="C22" i="11" l="1"/>
  <c r="B23" i="11"/>
  <c r="E25" i="11" s="1"/>
  <c r="B20" i="11"/>
  <c r="C20" i="11" s="1"/>
  <c r="D12" i="10"/>
  <c r="D5" i="10" l="1"/>
  <c r="D4" i="10" l="1"/>
  <c r="D13" i="10" l="1"/>
  <c r="D17" i="10"/>
  <c r="D10" i="10" l="1"/>
  <c r="D8" i="10"/>
  <c r="D9" i="10"/>
  <c r="D7" i="10"/>
  <c r="D6" i="10"/>
  <c r="D11" i="10" l="1"/>
  <c r="D3" i="9" l="1"/>
  <c r="D12" i="9"/>
  <c r="B3" i="9" l="1"/>
  <c r="D11" i="9" l="1"/>
  <c r="B5" i="9" l="1"/>
  <c r="D5" i="9" s="1"/>
  <c r="D10" i="9" l="1"/>
  <c r="D7" i="9"/>
  <c r="D8" i="9"/>
  <c r="D9" i="9"/>
  <c r="D6" i="9"/>
  <c r="D18" i="9"/>
  <c r="C25" i="10" l="1"/>
  <c r="C24" i="10"/>
  <c r="H23" i="10"/>
  <c r="F22" i="10"/>
  <c r="J21" i="10"/>
  <c r="B14" i="10" s="1"/>
  <c r="H19" i="10"/>
  <c r="B15" i="10"/>
  <c r="D15" i="10" s="1"/>
  <c r="C23" i="10"/>
  <c r="G4" i="10"/>
  <c r="F4" i="10"/>
  <c r="D13" i="6"/>
  <c r="D12" i="6"/>
  <c r="D3" i="6"/>
  <c r="H23" i="9"/>
  <c r="F22" i="9"/>
  <c r="J21" i="9"/>
  <c r="B14" i="9" s="1"/>
  <c r="B15" i="9"/>
  <c r="D15" i="9" s="1"/>
  <c r="G4" i="9"/>
  <c r="F4" i="9"/>
  <c r="H19" i="9"/>
  <c r="C25" i="6"/>
  <c r="C24" i="6"/>
  <c r="D4" i="6"/>
  <c r="D16" i="6"/>
  <c r="D7" i="6"/>
  <c r="D8" i="6"/>
  <c r="D9" i="6"/>
  <c r="D6" i="6"/>
  <c r="D10" i="6"/>
  <c r="F22" i="6"/>
  <c r="D11" i="6"/>
  <c r="B5" i="6"/>
  <c r="C23" i="6" s="1"/>
  <c r="H23" i="6"/>
  <c r="J21" i="6"/>
  <c r="B14" i="6" s="1"/>
  <c r="D14" i="6" s="1"/>
  <c r="D19" i="6"/>
  <c r="B15" i="6"/>
  <c r="D15" i="6" s="1"/>
  <c r="G4" i="6"/>
  <c r="F4" i="6"/>
  <c r="D3" i="5"/>
  <c r="D10" i="5"/>
  <c r="D14" i="5"/>
  <c r="D17" i="5"/>
  <c r="D4" i="5"/>
  <c r="B3" i="5"/>
  <c r="D9" i="5"/>
  <c r="D8" i="5"/>
  <c r="B6" i="5"/>
  <c r="D6" i="5" s="1"/>
  <c r="D17" i="4"/>
  <c r="D3" i="4"/>
  <c r="D13" i="4"/>
  <c r="B5" i="5"/>
  <c r="D5" i="5" s="1"/>
  <c r="D8" i="4"/>
  <c r="D14" i="4"/>
  <c r="D9" i="4"/>
  <c r="B6" i="4"/>
  <c r="E22" i="4" s="1"/>
  <c r="D4" i="4"/>
  <c r="H21" i="5"/>
  <c r="J19" i="5"/>
  <c r="B12" i="5" s="1"/>
  <c r="D12" i="5" s="1"/>
  <c r="B13" i="5"/>
  <c r="D13" i="5" s="1"/>
  <c r="G4" i="5"/>
  <c r="F4" i="5"/>
  <c r="B18" i="4"/>
  <c r="D18" i="4" s="1"/>
  <c r="D16" i="4"/>
  <c r="D15" i="4"/>
  <c r="D7" i="4"/>
  <c r="H23" i="4"/>
  <c r="J21" i="4"/>
  <c r="B11" i="4" s="1"/>
  <c r="D11" i="4" s="1"/>
  <c r="B12" i="4"/>
  <c r="D12" i="4" s="1"/>
  <c r="C23" i="4" s="1"/>
  <c r="G4" i="4"/>
  <c r="F4" i="4"/>
  <c r="D3" i="3"/>
  <c r="D10" i="3"/>
  <c r="D9" i="3"/>
  <c r="D8" i="3"/>
  <c r="D4" i="3"/>
  <c r="D13" i="3"/>
  <c r="D7" i="3"/>
  <c r="D6" i="3"/>
  <c r="B14" i="3"/>
  <c r="D14" i="3" s="1"/>
  <c r="F27" i="8"/>
  <c r="E27" i="8"/>
  <c r="H20" i="3"/>
  <c r="J18" i="3"/>
  <c r="B11" i="3" s="1"/>
  <c r="D11" i="3" s="1"/>
  <c r="B12" i="3"/>
  <c r="D12" i="3" s="1"/>
  <c r="G4" i="3"/>
  <c r="F4" i="3"/>
  <c r="D8" i="8"/>
  <c r="D9" i="8"/>
  <c r="H16" i="8"/>
  <c r="D4" i="8"/>
  <c r="B12" i="8"/>
  <c r="D12" i="8" s="1"/>
  <c r="B5" i="8"/>
  <c r="D5" i="8" s="1"/>
  <c r="D15" i="8"/>
  <c r="D7" i="8"/>
  <c r="B14" i="8"/>
  <c r="D14" i="8" s="1"/>
  <c r="J18" i="8"/>
  <c r="B11" i="8" s="1"/>
  <c r="J3" i="8" s="1"/>
  <c r="H20" i="8"/>
  <c r="B6" i="8"/>
  <c r="D6" i="8" s="1"/>
  <c r="G4" i="8"/>
  <c r="F4" i="8"/>
  <c r="H19" i="7"/>
  <c r="B12" i="7"/>
  <c r="I17" i="7" s="1"/>
  <c r="B5" i="7"/>
  <c r="B13" i="7"/>
  <c r="B6" i="7"/>
  <c r="G4" i="7"/>
  <c r="F4" i="7"/>
  <c r="H15" i="7"/>
  <c r="B5" i="2"/>
  <c r="D3" i="2"/>
  <c r="B3" i="2"/>
  <c r="G21" i="2"/>
  <c r="G4" i="2"/>
  <c r="F4" i="2"/>
  <c r="C22" i="2"/>
  <c r="A19" i="2"/>
  <c r="A22" i="2" s="1"/>
  <c r="B22" i="2" s="1"/>
  <c r="B14" i="2"/>
  <c r="D20" i="2"/>
  <c r="D21" i="2" s="1"/>
  <c r="B6" i="2"/>
  <c r="C27" i="1"/>
  <c r="G14" i="1"/>
  <c r="B6" i="1"/>
  <c r="B5" i="1"/>
  <c r="M4" i="1"/>
  <c r="B16" i="2" l="1"/>
  <c r="B15" i="1"/>
  <c r="B16" i="1" s="1"/>
  <c r="B16" i="7"/>
  <c r="F26" i="8"/>
  <c r="D14" i="9"/>
  <c r="B20" i="9" s="1"/>
  <c r="D22" i="9"/>
  <c r="E22" i="9" s="1"/>
  <c r="B23" i="9"/>
  <c r="B24" i="9" s="1"/>
  <c r="E26" i="9" s="1"/>
  <c r="D14" i="10"/>
  <c r="B20" i="10" s="1"/>
  <c r="D22" i="10"/>
  <c r="E22" i="10" s="1"/>
  <c r="I21" i="10"/>
  <c r="J3" i="10"/>
  <c r="H25" i="10"/>
  <c r="I25" i="10" s="1"/>
  <c r="B23" i="10"/>
  <c r="H25" i="9"/>
  <c r="I25" i="9" s="1"/>
  <c r="I21" i="9"/>
  <c r="J3" i="9"/>
  <c r="D5" i="6"/>
  <c r="B20" i="6" s="1"/>
  <c r="B23" i="4"/>
  <c r="B24" i="4" s="1"/>
  <c r="E26" i="4" s="1"/>
  <c r="D22" i="6"/>
  <c r="E22" i="6" s="1"/>
  <c r="B23" i="6"/>
  <c r="B24" i="6" s="1"/>
  <c r="E26" i="6" s="1"/>
  <c r="H19" i="6"/>
  <c r="H25" i="6"/>
  <c r="I25" i="6" s="1"/>
  <c r="J3" i="6"/>
  <c r="I21" i="6"/>
  <c r="B21" i="5"/>
  <c r="D20" i="5"/>
  <c r="E20" i="5" s="1"/>
  <c r="I19" i="5"/>
  <c r="H23" i="5"/>
  <c r="I23" i="5" s="1"/>
  <c r="B18" i="5"/>
  <c r="J3" i="5"/>
  <c r="H17" i="5"/>
  <c r="D6" i="4"/>
  <c r="B20" i="4" s="1"/>
  <c r="H19" i="4"/>
  <c r="H25" i="4"/>
  <c r="I25" i="4" s="1"/>
  <c r="J3" i="4"/>
  <c r="I21" i="4"/>
  <c r="D22" i="4"/>
  <c r="F22" i="4" s="1"/>
  <c r="B20" i="8"/>
  <c r="B21" i="8" s="1"/>
  <c r="E23" i="8" s="1"/>
  <c r="B20" i="3"/>
  <c r="B21" i="3" s="1"/>
  <c r="E23" i="3" s="1"/>
  <c r="B19" i="7"/>
  <c r="B20" i="7" s="1"/>
  <c r="E22" i="7" s="1"/>
  <c r="I18" i="8"/>
  <c r="D11" i="8"/>
  <c r="B17" i="8" s="1"/>
  <c r="B18" i="8" s="1"/>
  <c r="D18" i="8" s="1"/>
  <c r="H22" i="3"/>
  <c r="I22" i="3" s="1"/>
  <c r="D19" i="3"/>
  <c r="E19" i="3" s="1"/>
  <c r="B17" i="3"/>
  <c r="H16" i="3"/>
  <c r="J3" i="3"/>
  <c r="I18" i="3"/>
  <c r="H15" i="2"/>
  <c r="H16" i="2" s="1"/>
  <c r="B17" i="2"/>
  <c r="E19" i="2" s="1"/>
  <c r="E18" i="1"/>
  <c r="F14" i="1"/>
  <c r="J14" i="1" s="1"/>
  <c r="J17" i="1" s="1"/>
  <c r="J18" i="1" s="1"/>
  <c r="B21" i="9" l="1"/>
  <c r="C21" i="9" s="1"/>
  <c r="B18" i="3"/>
  <c r="B21" i="10"/>
  <c r="C21" i="10" s="1"/>
  <c r="B24" i="10"/>
  <c r="E26" i="10" s="1"/>
  <c r="B21" i="6"/>
  <c r="C21" i="6" s="1"/>
  <c r="B22" i="5"/>
  <c r="E24" i="5" s="1"/>
  <c r="B19" i="5"/>
  <c r="B17" i="7"/>
  <c r="D17" i="7" s="1"/>
  <c r="B21" i="4"/>
  <c r="B34" i="26"/>
  <c r="B35" i="26" s="1"/>
  <c r="B29" i="26"/>
  <c r="B32" i="26" l="1"/>
  <c r="F35" i="26"/>
  <c r="C31" i="26"/>
  <c r="C33" i="26" s="1"/>
  <c r="D29" i="26" l="1"/>
  <c r="B32" i="44"/>
  <c r="B33" i="44" s="1"/>
  <c r="C33" i="44" l="1"/>
  <c r="B50" i="44"/>
</calcChain>
</file>

<file path=xl/sharedStrings.xml><?xml version="1.0" encoding="utf-8"?>
<sst xmlns="http://schemas.openxmlformats.org/spreadsheetml/2006/main" count="3780" uniqueCount="704">
  <si>
    <t>SETIEMBRE</t>
  </si>
  <si>
    <t>se transfirio de cta dol a cta monedero</t>
  </si>
  <si>
    <t>cuanto va</t>
  </si>
  <si>
    <t>check list</t>
  </si>
  <si>
    <t>para gastos diarios</t>
  </si>
  <si>
    <t>si</t>
  </si>
  <si>
    <t>ok</t>
  </si>
  <si>
    <t>telefono</t>
  </si>
  <si>
    <t>todo</t>
  </si>
  <si>
    <t>tarjeta de credito</t>
  </si>
  <si>
    <t>mamich</t>
  </si>
  <si>
    <t>bon jovi</t>
  </si>
  <si>
    <t>tv</t>
  </si>
  <si>
    <t xml:space="preserve">seguro medico </t>
  </si>
  <si>
    <t>pago a patty</t>
  </si>
  <si>
    <t>recargas celular</t>
  </si>
  <si>
    <t>SI</t>
  </si>
  <si>
    <t>corte de pelo</t>
  </si>
  <si>
    <t>total dolares</t>
  </si>
  <si>
    <t>saldo</t>
  </si>
  <si>
    <t>total</t>
  </si>
  <si>
    <t>ahorro este mes</t>
  </si>
  <si>
    <t>OCTUBRE</t>
  </si>
  <si>
    <t>no</t>
  </si>
  <si>
    <t>falta pagar</t>
  </si>
  <si>
    <t>Lentes con marco</t>
  </si>
  <si>
    <t>CUOTA PAPA</t>
  </si>
  <si>
    <t>CUOTA CITIBANK</t>
  </si>
  <si>
    <t>x</t>
  </si>
  <si>
    <t>NOVIEMBRE</t>
  </si>
  <si>
    <t>TRAJETA PLAZA VEA</t>
  </si>
  <si>
    <t>cuanto voy pagando</t>
  </si>
  <si>
    <t>MEDICINA</t>
  </si>
  <si>
    <t>DICIEMBRE</t>
  </si>
  <si>
    <t>cuota papa</t>
  </si>
  <si>
    <t>pago seguro rimac</t>
  </si>
  <si>
    <t>desodorante a mama</t>
  </si>
  <si>
    <t>ENERO</t>
  </si>
  <si>
    <t>reapertura de cuenta</t>
  </si>
  <si>
    <t>FEBRERO</t>
  </si>
  <si>
    <t>dental</t>
  </si>
  <si>
    <t>psicologo franz</t>
  </si>
  <si>
    <t>terapia franz</t>
  </si>
  <si>
    <t>futbol de franz en alianza</t>
  </si>
  <si>
    <t>PAGO TOTAL TARJETA CITI</t>
  </si>
  <si>
    <t>MARZO</t>
  </si>
  <si>
    <t>pension franz</t>
  </si>
  <si>
    <t>ABRIL</t>
  </si>
  <si>
    <t>mamich-ppresion</t>
  </si>
  <si>
    <t>mamich-diario</t>
  </si>
  <si>
    <t>mamich-mascotas</t>
  </si>
  <si>
    <t>mamich-pens franz</t>
  </si>
  <si>
    <t xml:space="preserve">adicional pagar ademas 23.44 + 549.24 </t>
  </si>
  <si>
    <t>MAYO</t>
  </si>
  <si>
    <t>ingles</t>
  </si>
  <si>
    <t>reposicion de pago mamich</t>
  </si>
  <si>
    <t>JUNIO</t>
  </si>
  <si>
    <t>JULIO</t>
  </si>
  <si>
    <t>AGOSTO</t>
  </si>
  <si>
    <t>ahorro total</t>
  </si>
  <si>
    <t>Impuesto vehicular</t>
  </si>
  <si>
    <t>Adicionales</t>
  </si>
  <si>
    <t>Donacion Teleton</t>
  </si>
  <si>
    <t>Donacion Cruz Roja</t>
  </si>
  <si>
    <t>ROPA:CAMISA PIERRE CARDAIN</t>
  </si>
  <si>
    <t>LENTES DE CONTACTO</t>
  </si>
  <si>
    <t>cojin</t>
  </si>
  <si>
    <t>cena romantica</t>
  </si>
  <si>
    <t>gasto diario</t>
  </si>
  <si>
    <t>libro de ingles-mark of zorro</t>
  </si>
  <si>
    <t>partido brazil argentina</t>
  </si>
  <si>
    <t>ROPA:PANTALON</t>
  </si>
  <si>
    <t>libro de ingles</t>
  </si>
  <si>
    <t>SOAT VEHICULAR</t>
  </si>
  <si>
    <t>pago a franco</t>
  </si>
  <si>
    <t>SEGURO VEHICULAR</t>
  </si>
  <si>
    <t>TRANSPORTE</t>
  </si>
  <si>
    <t>REGALOS DE NAVIDAD</t>
  </si>
  <si>
    <t>AHORRO TOTAL</t>
  </si>
  <si>
    <t>comida</t>
  </si>
  <si>
    <t>ropas de banio</t>
  </si>
  <si>
    <t>`</t>
  </si>
  <si>
    <t>colchon</t>
  </si>
  <si>
    <t>TOTAL EN MI CUENTA EN SOLES</t>
  </si>
  <si>
    <t>gasolina</t>
  </si>
  <si>
    <t>celular</t>
  </si>
  <si>
    <t>MANTENIMIENTO VEHICULAR</t>
  </si>
  <si>
    <t>pasajes</t>
  </si>
  <si>
    <t>debo 800 dolares a papich</t>
  </si>
  <si>
    <t>snacks, galletas, etc</t>
  </si>
  <si>
    <t>pago a sat imp vehicular</t>
  </si>
  <si>
    <t>pago celular de charo</t>
  </si>
  <si>
    <t>regalo para mama</t>
  </si>
  <si>
    <t>dere que arreglen la lavadora</t>
  </si>
  <si>
    <t>celular claro + celular movistar</t>
  </si>
  <si>
    <t>1 camisa</t>
  </si>
  <si>
    <t>obs</t>
  </si>
  <si>
    <t>tarjeta ripley</t>
  </si>
  <si>
    <t>pinturas de promax</t>
  </si>
  <si>
    <t>USB para franz</t>
  </si>
  <si>
    <t>regalo para papa</t>
  </si>
  <si>
    <t>CUOTA PAPA CELULAR GALAXY</t>
  </si>
  <si>
    <t>cuotas de comidas citibank</t>
  </si>
  <si>
    <t>cuota qsystem cumples</t>
  </si>
  <si>
    <t>mueble de charo</t>
  </si>
  <si>
    <t>GASTOS DE GRATI</t>
  </si>
  <si>
    <t>reserva para pagar a chicpoco</t>
  </si>
  <si>
    <t xml:space="preserve">pagar a mi abuelito </t>
  </si>
  <si>
    <t>Pagar tarjeta de credito</t>
  </si>
  <si>
    <t>gasolina y dientes</t>
  </si>
  <si>
    <t>queda</t>
  </si>
  <si>
    <t>PAGO DE AHIJADO CRISTIAN</t>
  </si>
  <si>
    <t>ALMUERZOS CON AMIGOS Y REUNIONES</t>
  </si>
  <si>
    <t>PAGO A MI ABUELITO</t>
  </si>
  <si>
    <t>pago de antivirus</t>
  </si>
  <si>
    <t>PAGO A PATY maringota</t>
  </si>
  <si>
    <t>internet adicional</t>
  </si>
  <si>
    <t>muela y medicina</t>
  </si>
  <si>
    <t>mamich-dieta</t>
  </si>
  <si>
    <t>pago de impuesto vehicular</t>
  </si>
  <si>
    <t>pago mis lentes de contacto</t>
  </si>
  <si>
    <t>PAGO DEL BCB</t>
  </si>
  <si>
    <t>TARJETA DE CREDITO CITIBANK</t>
  </si>
  <si>
    <t>DEUDA PAPA</t>
  </si>
  <si>
    <t>DEUDA ABUELITO</t>
  </si>
  <si>
    <t>DEUDA FRANCO</t>
  </si>
  <si>
    <t>REPARACION AUTO</t>
  </si>
  <si>
    <t>COMPRA DE SILLA DE OFICINA</t>
  </si>
  <si>
    <t>octubre</t>
  </si>
  <si>
    <t>diversion</t>
  </si>
  <si>
    <t>zapatos nuevos</t>
  </si>
  <si>
    <t>casaca nueva</t>
  </si>
  <si>
    <t>tratamiento de mi una</t>
  </si>
  <si>
    <t>ceprovi</t>
  </si>
  <si>
    <t>asp .net mvc</t>
  </si>
  <si>
    <t>match internacional</t>
  </si>
  <si>
    <t xml:space="preserve">carlos debe 15 de torta de abuelito </t>
  </si>
  <si>
    <t>charo debe 15 de torta de abuelito</t>
  </si>
  <si>
    <t>itil pmp y demas</t>
  </si>
  <si>
    <t>pantalon de carlos</t>
  </si>
  <si>
    <t>compra de cocodrilo para el carro</t>
  </si>
  <si>
    <t>DEUDA PREST PERSONAL CITI</t>
  </si>
  <si>
    <t>mistura</t>
  </si>
  <si>
    <t>conector tv</t>
  </si>
  <si>
    <t>conector tv celular</t>
  </si>
  <si>
    <t>colonias</t>
  </si>
  <si>
    <t>planchador</t>
  </si>
  <si>
    <t>compra de medias y dos zolcans</t>
  </si>
  <si>
    <t>noviembre</t>
  </si>
  <si>
    <t>PARA 15 ANIOS DE AHIJADA</t>
  </si>
  <si>
    <t>compra de tela para terno</t>
  </si>
  <si>
    <t>pago  a lucio de saco</t>
  </si>
  <si>
    <t>PAGO PARA MI AHIJADA</t>
  </si>
  <si>
    <t>PAGO DE TERNO SALDO FALTANTE</t>
  </si>
  <si>
    <t>Pago de seguro vheicular</t>
  </si>
  <si>
    <t>diciembre</t>
  </si>
  <si>
    <t>Pago de seguro vehicular</t>
  </si>
  <si>
    <t>cuota de impuesto vehicular</t>
  </si>
  <si>
    <t>Prima Patty</t>
  </si>
  <si>
    <t>cuota de club srqcc</t>
  </si>
  <si>
    <t>enero</t>
  </si>
  <si>
    <t>pago de tarjeta citibank dolares</t>
  </si>
  <si>
    <t>pago de tarjeta de credito</t>
  </si>
  <si>
    <t>pago de ingles de franz</t>
  </si>
  <si>
    <t>febrero</t>
  </si>
  <si>
    <t>ingles de franz libros</t>
  </si>
  <si>
    <t xml:space="preserve">srqcc-cuota de club </t>
  </si>
  <si>
    <t xml:space="preserve">srqcc-mantenimiento de club </t>
  </si>
  <si>
    <t>colonia dyclas mamich</t>
  </si>
  <si>
    <t>openenglish</t>
  </si>
  <si>
    <t>ipod de jenniffer</t>
  </si>
  <si>
    <t>sueldo genoveva</t>
  </si>
  <si>
    <t>marzo</t>
  </si>
  <si>
    <t>comida-mascotas</t>
  </si>
  <si>
    <t>micro</t>
  </si>
  <si>
    <t xml:space="preserve">cel </t>
  </si>
  <si>
    <t>geno</t>
  </si>
  <si>
    <t>mueble</t>
  </si>
  <si>
    <t>dieta</t>
  </si>
  <si>
    <t>otros gastos</t>
  </si>
  <si>
    <t>total este mes</t>
  </si>
  <si>
    <t>pago qsystem</t>
  </si>
  <si>
    <t>pago humberto</t>
  </si>
  <si>
    <t>deuda humberto</t>
  </si>
  <si>
    <t>pago carlos</t>
  </si>
  <si>
    <t>tarjeta de credito hsbc</t>
  </si>
  <si>
    <t>mascotas</t>
  </si>
  <si>
    <t>Pastilla especial para controlar la presion</t>
  </si>
  <si>
    <t>Dieta de mama</t>
  </si>
  <si>
    <t xml:space="preserve">Sueldo de genoveva </t>
  </si>
  <si>
    <t>leche especial</t>
  </si>
  <si>
    <t>mamich-sueldo de geño</t>
  </si>
  <si>
    <t xml:space="preserve">mamich-leche especial </t>
  </si>
  <si>
    <t>abril</t>
  </si>
  <si>
    <t>dar directamente marga</t>
  </si>
  <si>
    <t>prestamo 1000</t>
  </si>
  <si>
    <t>tarjeta de credito citibank</t>
  </si>
  <si>
    <t>ingles de franz</t>
  </si>
  <si>
    <t>desparasitacion y antipulgas</t>
  </si>
  <si>
    <t>prestamo 1000 de PAPA</t>
  </si>
  <si>
    <t>laptop</t>
  </si>
  <si>
    <t>direct tv</t>
  </si>
  <si>
    <t>500 me debe carlos para el dia viernes</t>
  </si>
  <si>
    <t>sueldo julio</t>
  </si>
  <si>
    <t>sueldo agosto</t>
  </si>
  <si>
    <t>CTS</t>
  </si>
  <si>
    <t>vacaciones</t>
  </si>
  <si>
    <t>ahorro y grati</t>
  </si>
  <si>
    <t>pasaje aereo</t>
  </si>
  <si>
    <t>impuesto vehicular sat</t>
  </si>
  <si>
    <t>DIARIO</t>
  </si>
  <si>
    <t>pens franz</t>
  </si>
  <si>
    <t>seguro del vehiculo</t>
  </si>
  <si>
    <t>propina a rosario</t>
  </si>
  <si>
    <t>colaboracion con carlos</t>
  </si>
  <si>
    <t>sedapal</t>
  </si>
  <si>
    <t>tarjeta de credito dinners</t>
  </si>
  <si>
    <t>Ayuda a carlos</t>
  </si>
  <si>
    <t>INGLES</t>
  </si>
  <si>
    <t>Otras deudas(genoveva y papa)</t>
  </si>
  <si>
    <t>verdadera</t>
  </si>
  <si>
    <t>Otras deudas</t>
  </si>
  <si>
    <t>perrita</t>
  </si>
  <si>
    <t>charo debe pagarme minimo</t>
  </si>
  <si>
    <t>Todo es</t>
  </si>
  <si>
    <t xml:space="preserve">charo debe darme </t>
  </si>
  <si>
    <t>TAXI VIA EXPRESA</t>
  </si>
  <si>
    <t>SANGUCHE</t>
  </si>
  <si>
    <t>TAXI AV BOLOGNESI</t>
  </si>
  <si>
    <t>GENOVEVA</t>
  </si>
  <si>
    <t>LIMPIAR CARRO</t>
  </si>
  <si>
    <t>PAGO DE INGLES</t>
  </si>
  <si>
    <t>DEPOSITO EN CUENTA</t>
  </si>
  <si>
    <t>TOTAL</t>
  </si>
  <si>
    <t xml:space="preserve">CHARITO </t>
  </si>
  <si>
    <t>CARLOS DEBE</t>
  </si>
  <si>
    <t>MAESTRO COMAS T29</t>
  </si>
  <si>
    <t>PROMART</t>
  </si>
  <si>
    <t>Prestamo para curso actualizacion</t>
  </si>
  <si>
    <t>Celular LG</t>
  </si>
  <si>
    <t>sueldo geño</t>
  </si>
  <si>
    <t>Cuenta charo</t>
  </si>
  <si>
    <t>Cuenta Carlos</t>
  </si>
  <si>
    <t>un dia que te preste en la mañana</t>
  </si>
  <si>
    <t>Celular</t>
  </si>
  <si>
    <t>Llanta y balanceo</t>
  </si>
  <si>
    <t>Total</t>
  </si>
  <si>
    <t>Saldo prestamo anterior</t>
  </si>
  <si>
    <t>otros gastos(deuda abuelito, polos de papa)</t>
  </si>
  <si>
    <t>TOTAL PAGAR A DINERS</t>
  </si>
  <si>
    <t>TOTAL PAGAR A CITI</t>
  </si>
  <si>
    <t>CUYES PAL AGASAJO TIO JOS</t>
  </si>
  <si>
    <t>Total deuda (31/06)</t>
  </si>
  <si>
    <t>Pago a cuenta(18/06)</t>
  </si>
  <si>
    <t>Cumpleaños de mama</t>
  </si>
  <si>
    <t>PAQUETE DE VIAJE</t>
  </si>
  <si>
    <t>LIBRO LECTURA DE INGLES</t>
  </si>
  <si>
    <t>TORTA ABUELITA</t>
  </si>
  <si>
    <t>PRESTAMO(01/07/2014)</t>
  </si>
  <si>
    <t xml:space="preserve">cena belisario </t>
  </si>
  <si>
    <t>PAYLESS SHOES</t>
  </si>
  <si>
    <t>papa</t>
  </si>
  <si>
    <t>colonia</t>
  </si>
  <si>
    <t>deuda abuelito</t>
  </si>
  <si>
    <t>tia celia</t>
  </si>
  <si>
    <t>cenas</t>
  </si>
  <si>
    <t>colonia genoveva</t>
  </si>
  <si>
    <t>TORTA PAPA</t>
  </si>
  <si>
    <t>geño</t>
  </si>
  <si>
    <t>sueldo</t>
  </si>
  <si>
    <t>descuentos</t>
  </si>
  <si>
    <t>Total deuda (24/07)</t>
  </si>
  <si>
    <t>Pago a cuenta(22/07)</t>
  </si>
  <si>
    <t>deuda papa</t>
  </si>
  <si>
    <t xml:space="preserve">gastos a partir de </t>
  </si>
  <si>
    <t>al</t>
  </si>
  <si>
    <t>Fecha</t>
  </si>
  <si>
    <t>Monto</t>
  </si>
  <si>
    <t>Concepto</t>
  </si>
  <si>
    <t>desayuno de carlos, franz y hector</t>
  </si>
  <si>
    <t>cena de carlos , franz y hector</t>
  </si>
  <si>
    <t>pan</t>
  </si>
  <si>
    <t>1 tarro de leche</t>
  </si>
  <si>
    <t>un trome y un sport</t>
  </si>
  <si>
    <t>LE DI A GENOVEVA</t>
  </si>
  <si>
    <t>ME DIERON 100 SOLES</t>
  </si>
  <si>
    <t>pago de campofe</t>
  </si>
  <si>
    <t>Prestamo(30/07)</t>
  </si>
  <si>
    <t>CAMPO FE</t>
  </si>
  <si>
    <t>PAGOS A DINNErS</t>
  </si>
  <si>
    <t>gas</t>
  </si>
  <si>
    <t>desayuno</t>
  </si>
  <si>
    <t>cokecola</t>
  </si>
  <si>
    <t>diccionario</t>
  </si>
  <si>
    <t>jarabe</t>
  </si>
  <si>
    <t>metro</t>
  </si>
  <si>
    <t>choza nautica</t>
  </si>
  <si>
    <t>libro de cuento de ingles</t>
  </si>
  <si>
    <t>helados</t>
  </si>
  <si>
    <t>minimarket</t>
  </si>
  <si>
    <t>pollito</t>
  </si>
  <si>
    <t>liquido de lentes de contacto</t>
  </si>
  <si>
    <t>limpieza personal</t>
  </si>
  <si>
    <t xml:space="preserve">viviris </t>
  </si>
  <si>
    <t>yuri gagarin</t>
  </si>
  <si>
    <t>cel para rocio</t>
  </si>
  <si>
    <t xml:space="preserve">pollo </t>
  </si>
  <si>
    <t>embutidos</t>
  </si>
  <si>
    <t>sillau</t>
  </si>
  <si>
    <t>huevos</t>
  </si>
  <si>
    <t>papa tomo 12 soles</t>
  </si>
  <si>
    <t>debo 8</t>
  </si>
  <si>
    <t>2 pollos de dianita</t>
  </si>
  <si>
    <t>mantequilla y jamonada</t>
  </si>
  <si>
    <t>a cuenta (20140813)</t>
  </si>
  <si>
    <t>ya pague 300 falta 50</t>
  </si>
  <si>
    <t>PESTAMO DE PAPA 110 = 100 PAL TELEFONO Y 10 PAA POLLADA DE SA DOIS</t>
  </si>
  <si>
    <t>Pago a cuenta(19/08)</t>
  </si>
  <si>
    <t>PAGO SALDO FALTANTE (16/08)</t>
  </si>
  <si>
    <t>PAGADO</t>
  </si>
  <si>
    <t>ropa de ariana</t>
  </si>
  <si>
    <t>caramandungas</t>
  </si>
  <si>
    <t>menu del ingles</t>
  </si>
  <si>
    <t>YA SE PAGO</t>
  </si>
  <si>
    <t>SEPTIEMBRE</t>
  </si>
  <si>
    <t>euroidiomas</t>
  </si>
  <si>
    <t>DE DIARIO SEMANA EMPIEZA EL 25 AGOSTO</t>
  </si>
  <si>
    <t>DEBO</t>
  </si>
  <si>
    <t>DEUDA A PAPA</t>
  </si>
  <si>
    <t xml:space="preserve">PESTAMO DE PAPA </t>
  </si>
  <si>
    <t>DEUDA A CARLOS DE TIA CELIA(DESCUENTO DE SU DEUDA)</t>
  </si>
  <si>
    <t>CONMEMORACION DE MAMA</t>
  </si>
  <si>
    <t>CONCEPTO</t>
  </si>
  <si>
    <t>MONTO(Soles)</t>
  </si>
  <si>
    <t>150 platos #23</t>
  </si>
  <si>
    <t>150 tenedores #10</t>
  </si>
  <si>
    <t>200 vasos #10 (chicha, gaseosa)</t>
  </si>
  <si>
    <t>200 vasos #3 (brindis con vino)</t>
  </si>
  <si>
    <t>200 servilletas(dobladas en 4)</t>
  </si>
  <si>
    <t>DESCARTABLES</t>
  </si>
  <si>
    <t>PARA LA COMIDA</t>
  </si>
  <si>
    <t>Una botella grande de aceite</t>
  </si>
  <si>
    <t>A continuación todas las cosas que ya han sido compradas por mi con mi plata (Hector Guillermo)</t>
  </si>
  <si>
    <t>Ajos</t>
  </si>
  <si>
    <t>Ajinomoto</t>
  </si>
  <si>
    <t>1/2 Kilo de pecanas</t>
  </si>
  <si>
    <t>1/2 Kilo de pasas</t>
  </si>
  <si>
    <t>Pimienta y comino</t>
  </si>
  <si>
    <t>1/2 Kilo de aji colorado</t>
  </si>
  <si>
    <t>2 tarros de leche</t>
  </si>
  <si>
    <t>1 bolsa de sal</t>
  </si>
  <si>
    <t xml:space="preserve">TOTAL </t>
  </si>
  <si>
    <t>PRESTAMO DE PAPA</t>
  </si>
  <si>
    <t>DE CAMPOFE</t>
  </si>
  <si>
    <t>CUOTA MISA DE AÑO DE MAMA</t>
  </si>
  <si>
    <t>MONTALVO SPA PELIQUERIA</t>
  </si>
  <si>
    <t>CHARO PAGO A CUENTA(07/09)</t>
  </si>
  <si>
    <t>RECARGA CELULAR(10/09)</t>
  </si>
  <si>
    <t>RECARGA CELULAR(13/09)</t>
  </si>
  <si>
    <t>Prestamo Misa de Mama(04/09)</t>
  </si>
  <si>
    <t>Descuento x deuda Misa de  Mama(04/09)</t>
  </si>
  <si>
    <t>Pago(21/09)</t>
  </si>
  <si>
    <t>sueldo geño(30/08)</t>
  </si>
  <si>
    <t>empanadas paulistas</t>
  </si>
  <si>
    <t>camisa caman 3 cuotas</t>
  </si>
  <si>
    <t>lentes blandos</t>
  </si>
  <si>
    <t>medidor de aire</t>
  </si>
  <si>
    <t>desodorantes, etc</t>
  </si>
  <si>
    <t xml:space="preserve">PAGO </t>
  </si>
  <si>
    <t xml:space="preserve"> A CUENTA</t>
  </si>
  <si>
    <t>OJO EN DINERS</t>
  </si>
  <si>
    <t>PESCADO PA CEBICHADA(28/09)</t>
  </si>
  <si>
    <t>CHULETAS PAL ALMUERZO(28/09)</t>
  </si>
  <si>
    <t>DEUDA PARA LOS VECINOS(01/03)</t>
  </si>
  <si>
    <t>GASOLINA PARA IR AL INGLES</t>
  </si>
  <si>
    <t>Pagar 20 en tarjeta diners</t>
  </si>
  <si>
    <t>sueldo geño(30/09)</t>
  </si>
  <si>
    <t>Pago a cuenta(05/10)</t>
  </si>
  <si>
    <t>Cuota de almuerzo(05/10)</t>
  </si>
  <si>
    <t>prestamo de papa</t>
  </si>
  <si>
    <t>Pollito(12/10)</t>
  </si>
  <si>
    <t>DEUDA PARA LOS VECINOS(02/03)</t>
  </si>
  <si>
    <t>deuda mes pasado</t>
  </si>
  <si>
    <t>PROMART(06/06)</t>
  </si>
  <si>
    <t>sueldo geño(30/10)</t>
  </si>
  <si>
    <t>CAMPO FE(pago papa)</t>
  </si>
  <si>
    <t>teatro</t>
  </si>
  <si>
    <t>empanada paulista</t>
  </si>
  <si>
    <t>gelatinas, mantequilla etc</t>
  </si>
  <si>
    <t>TOTTUS desodorantes</t>
  </si>
  <si>
    <t>Almuerzo para mis abuelitos</t>
  </si>
  <si>
    <t xml:space="preserve">papitas </t>
  </si>
  <si>
    <t>comidas y snack ingles</t>
  </si>
  <si>
    <t xml:space="preserve">Comidas con beto </t>
  </si>
  <si>
    <t>bautizo</t>
  </si>
  <si>
    <t>recarga cel</t>
  </si>
  <si>
    <t>REGALOS AHIJADOS, AMIGOS SECRETOS, COSTILLA Y DEMAS</t>
  </si>
  <si>
    <t>LUCIA</t>
  </si>
  <si>
    <t>NUEVO TECLADO</t>
  </si>
  <si>
    <t>cenatha</t>
  </si>
  <si>
    <t>AHIJADA CARLITA</t>
  </si>
  <si>
    <t>recarga celular</t>
  </si>
  <si>
    <t>torta de carlos</t>
  </si>
  <si>
    <t>DEUDA PARA LOS VECINOS(03/03)</t>
  </si>
  <si>
    <t>TOTAL EFECTIVO</t>
  </si>
  <si>
    <t>PAGO DE CITIBANK</t>
  </si>
  <si>
    <t>ahijado christian</t>
  </si>
  <si>
    <t>ahijado postizo peter</t>
  </si>
  <si>
    <t>renzito</t>
  </si>
  <si>
    <t>marquitos</t>
  </si>
  <si>
    <t>soles</t>
  </si>
  <si>
    <t>PAGAR A DINNERS</t>
  </si>
  <si>
    <t>PAGAR A CITIBANK</t>
  </si>
  <si>
    <t>duo</t>
  </si>
  <si>
    <t>10 mb</t>
  </si>
  <si>
    <t>8 mb</t>
  </si>
  <si>
    <t>4 mb</t>
  </si>
  <si>
    <t>2 mb</t>
  </si>
  <si>
    <t>yelina</t>
  </si>
  <si>
    <t>SERVICIOS DE CASA A PAPA</t>
  </si>
  <si>
    <t xml:space="preserve">celular claro </t>
  </si>
  <si>
    <t>NUEVO JUEGO DE LAVATORIO, PEDESTAL Y TAZA MAS ACCESORIOS</t>
  </si>
  <si>
    <t xml:space="preserve">SERVICIO DE INSTALACION </t>
  </si>
  <si>
    <t>celular claro</t>
  </si>
  <si>
    <t>PAPA DEUDA PASADA</t>
  </si>
  <si>
    <t>PAPA DEUDA DE AHORA</t>
  </si>
  <si>
    <t>PAGO DE 30/04</t>
  </si>
  <si>
    <t>SALDO TOTAL</t>
  </si>
  <si>
    <t>DETERGENTE Y  COSAS PARA LAVAR LA ROPA</t>
  </si>
  <si>
    <t xml:space="preserve">PIXANGA DE BAQUET </t>
  </si>
  <si>
    <t>almuerzo</t>
  </si>
  <si>
    <t>cena</t>
  </si>
  <si>
    <t>Deuda a papa de 2000 soles cuota 1</t>
  </si>
  <si>
    <t>Pago a cuenta(02/07/2015)</t>
  </si>
  <si>
    <t>Pagos de Sanitario nuevo de la Sala</t>
  </si>
  <si>
    <t>N</t>
  </si>
  <si>
    <t>Fecha Pago</t>
  </si>
  <si>
    <t>Pago</t>
  </si>
  <si>
    <t>YA PAGO</t>
  </si>
  <si>
    <t>Prestamo para almuerzo Tia July(11/07/2015)</t>
  </si>
  <si>
    <t>Falta pagar</t>
  </si>
  <si>
    <t>Lo que tengo</t>
  </si>
  <si>
    <t>Cumpleaños de Papi</t>
  </si>
  <si>
    <t>Ingresientes COMIDA</t>
  </si>
  <si>
    <t>Adelantos Charo</t>
  </si>
  <si>
    <t>Total Comida</t>
  </si>
  <si>
    <t>Musica</t>
  </si>
  <si>
    <t>Atención Mozos</t>
  </si>
  <si>
    <t>Trago del Mozo</t>
  </si>
  <si>
    <t>Cocina Geno</t>
  </si>
  <si>
    <t>Asistente Justi</t>
  </si>
  <si>
    <t>Torta</t>
  </si>
  <si>
    <t>Decoración</t>
  </si>
  <si>
    <t xml:space="preserve">   Cartel feliz cumple </t>
  </si>
  <si>
    <t xml:space="preserve">   Tela para la mesa</t>
  </si>
  <si>
    <t xml:space="preserve">   Globos y cinta de agua</t>
  </si>
  <si>
    <t>Descartables</t>
  </si>
  <si>
    <t>Bocaditos</t>
  </si>
  <si>
    <t>Adelantos Hector</t>
  </si>
  <si>
    <t>Adelantos Carlos</t>
  </si>
  <si>
    <t>Cuota de cada persona</t>
  </si>
  <si>
    <t>Total Prestamo a carlos</t>
  </si>
  <si>
    <t>Cada hermano presta</t>
  </si>
  <si>
    <t>Papa  presto</t>
  </si>
  <si>
    <t>TOTAL PAGADO</t>
  </si>
  <si>
    <t>Total prestamo de papa</t>
  </si>
  <si>
    <t>Falta Pagar</t>
  </si>
  <si>
    <t>Total falta pagar</t>
  </si>
  <si>
    <t>Pago a cuenta(24/07/2015)</t>
  </si>
  <si>
    <t>bolsa de viaje</t>
  </si>
  <si>
    <t>dia</t>
  </si>
  <si>
    <t>Deuda a papa de 2000 soles cuota 2</t>
  </si>
  <si>
    <t>dinners</t>
  </si>
  <si>
    <t>numero de dias</t>
  </si>
  <si>
    <t>numero de pichangas</t>
  </si>
  <si>
    <t>Papa</t>
  </si>
  <si>
    <t>carlos</t>
  </si>
  <si>
    <t>charo</t>
  </si>
  <si>
    <t>cuota del bano de la sala</t>
  </si>
  <si>
    <t>cuota del bano de la sala(31/08/2015)</t>
  </si>
  <si>
    <t>Deuda (31/07/2015)</t>
  </si>
  <si>
    <t>PRESTAMOS DE PAPA PARA EL INGLES</t>
  </si>
  <si>
    <t>30/06/2015</t>
  </si>
  <si>
    <t>31/07/2015</t>
  </si>
  <si>
    <t>31/08/2015</t>
  </si>
  <si>
    <t>PRESTADO</t>
  </si>
  <si>
    <t>Cuota baby shower genoveva</t>
  </si>
  <si>
    <t>Saldo a favor babyshower genoveva</t>
  </si>
  <si>
    <t>Misa de 2 anios de mama</t>
  </si>
  <si>
    <t>Recuerdos de mama</t>
  </si>
  <si>
    <t>Adelanto Papa</t>
  </si>
  <si>
    <t>Misa en casa</t>
  </si>
  <si>
    <t>Flores</t>
  </si>
  <si>
    <t>Ayuda de justina</t>
  </si>
  <si>
    <t xml:space="preserve">Saldo </t>
  </si>
  <si>
    <t>fresa</t>
  </si>
  <si>
    <t>Azucar</t>
  </si>
  <si>
    <t>Leche</t>
  </si>
  <si>
    <t>Canela y Colorante</t>
  </si>
  <si>
    <t>Huevos</t>
  </si>
  <si>
    <t xml:space="preserve">Saca grasa </t>
  </si>
  <si>
    <t>Papel Toalla</t>
  </si>
  <si>
    <t>Pago realizado</t>
  </si>
  <si>
    <t>Saneamiento chacracerro</t>
  </si>
  <si>
    <t>Tazacion de valor de chacracerro</t>
  </si>
  <si>
    <t>Copia de autovaluo municipal</t>
  </si>
  <si>
    <t>Pasajes para realizar las gestiones</t>
  </si>
  <si>
    <t>Detalle</t>
  </si>
  <si>
    <t>Descripcion</t>
  </si>
  <si>
    <t>Deuda a papa de 2000 soles cuota 3</t>
  </si>
  <si>
    <t>Deuda a papa de 2000 soles cuota 4</t>
  </si>
  <si>
    <t>DEUDA DE LA LA SUNAT CUOTA 1 DE 11</t>
  </si>
  <si>
    <t>PRESTAMO INTERBANK CUOTA 0 DE 60</t>
  </si>
  <si>
    <t>Cuota babyshower genoveva(01/09/2015)</t>
  </si>
  <si>
    <t>Cuota del baño de la sala (01/09/2015)</t>
  </si>
  <si>
    <t>Cuota para pelusa(10/09/2015)</t>
  </si>
  <si>
    <t>Fecha de pago</t>
  </si>
  <si>
    <t>* Motos en soles</t>
  </si>
  <si>
    <t>Pago a cuenta(30/09/2015)</t>
  </si>
  <si>
    <t>Lista de gasto de santa rosa de quives</t>
  </si>
  <si>
    <t xml:space="preserve">Gastos, cremas, jamonada, agua, servilletas, papel higienico </t>
  </si>
  <si>
    <t>Hector Gui</t>
  </si>
  <si>
    <t>Hector Federico</t>
  </si>
  <si>
    <t>chorizos</t>
  </si>
  <si>
    <t>carbon</t>
  </si>
  <si>
    <t>Carlos</t>
  </si>
  <si>
    <t>Chuleta</t>
  </si>
  <si>
    <t>Rocio</t>
  </si>
  <si>
    <t xml:space="preserve">Choclo </t>
  </si>
  <si>
    <t xml:space="preserve">taxi </t>
  </si>
  <si>
    <t>preparado</t>
  </si>
  <si>
    <t>azucar</t>
  </si>
  <si>
    <t>pollo</t>
  </si>
  <si>
    <t xml:space="preserve">10 tamales </t>
  </si>
  <si>
    <t>tarjeta de credito citibank-scotiabank</t>
  </si>
  <si>
    <t>PRESTAMO INTERBANK CUOTA 1 DE 60</t>
  </si>
  <si>
    <t>Deuda a papa de 2000 soles cuota 5</t>
  </si>
  <si>
    <t>DEUDA DE LA LA SUNAT CUOTA 2 DE 11</t>
  </si>
  <si>
    <t>a04982</t>
  </si>
  <si>
    <t>Cuota del baño de la sala (03/11/2015)</t>
  </si>
  <si>
    <t>Cuota del baño de la sala (01/10/2015)</t>
  </si>
  <si>
    <t>Limpieza de la casa para genoveva</t>
  </si>
  <si>
    <t>PRESTAMO INTERBANK CUOTA 2 DE 60</t>
  </si>
  <si>
    <t>Deuda a papa de 2000 soles cuota 6</t>
  </si>
  <si>
    <t>DEUDA DE LA LA SUNAT CUOTA 3 DE 11</t>
  </si>
  <si>
    <t>TERAPIA ROCIO</t>
  </si>
  <si>
    <t>PRESENTES DE NAVIDAD</t>
  </si>
  <si>
    <t>IR AL MEDICO A VER MI PRESION ALTA</t>
  </si>
  <si>
    <t>celular claro 992823339</t>
  </si>
  <si>
    <t>Cuota del baño de la sala (30/11/2015)</t>
  </si>
  <si>
    <t>tarjeta interbank american express</t>
  </si>
  <si>
    <t>PRESTAMO INTERBANK CUOTA 3 DE 60</t>
  </si>
  <si>
    <t>Deuda a papa de 2000 soles cuota 7</t>
  </si>
  <si>
    <t>DEUDA DE LA LA SUNAT CUOTA 4 DE 11</t>
  </si>
  <si>
    <t>Pago a cuenta(01/12/2015)</t>
  </si>
  <si>
    <t>regalo ahijada lucia(barbie)</t>
  </si>
  <si>
    <t>regalo ahijado peter(juego de mesa)</t>
  </si>
  <si>
    <t>regalo marquitos(ironman)</t>
  </si>
  <si>
    <t>regalo roberto angel(batman)</t>
  </si>
  <si>
    <t>regalo ahijada (carlita)</t>
  </si>
  <si>
    <t>SUBTOTAL</t>
  </si>
  <si>
    <t>regalo ahijado cristian</t>
  </si>
  <si>
    <t>regalo amorcito</t>
  </si>
  <si>
    <t>regalo amigo secreto</t>
  </si>
  <si>
    <t xml:space="preserve">regalo renzito </t>
  </si>
  <si>
    <t>regalo amigo secreto de la xamba</t>
  </si>
  <si>
    <t>Planet chichen-Pollo saltado(25/12/2015)</t>
  </si>
  <si>
    <t>Planet chichen-Limonada(25/12/2015)</t>
  </si>
  <si>
    <t>Cinemark Megaplaza-Entrada</t>
  </si>
  <si>
    <t>Cinemark Megaplaza-Entrada de papa</t>
  </si>
  <si>
    <t>Cuenta Charito</t>
  </si>
  <si>
    <t>paracas</t>
  </si>
  <si>
    <t>hotel</t>
  </si>
  <si>
    <t>comidas</t>
  </si>
  <si>
    <t>turs</t>
  </si>
  <si>
    <t>franz</t>
  </si>
  <si>
    <t>anillo</t>
  </si>
  <si>
    <t>pago a papa</t>
  </si>
  <si>
    <t>ahorro real actual</t>
  </si>
  <si>
    <t>anillo real</t>
  </si>
  <si>
    <t>Para ingles de FRANZ (09/01/2016)</t>
  </si>
  <si>
    <t>Pago a cuenta(31/12/2015)</t>
  </si>
  <si>
    <t>franz-libros</t>
  </si>
  <si>
    <t>pagar</t>
  </si>
  <si>
    <t>PRESTAMO INTERBANK CUOTA 4 DE 60</t>
  </si>
  <si>
    <t>corte de CABELLO</t>
  </si>
  <si>
    <t>Deuda a papa de 2000 soles cuota 8</t>
  </si>
  <si>
    <t>autovaluo de casa</t>
  </si>
  <si>
    <t>DEUDA DE LA LA SUNAT CUOTA 5 DE 11</t>
  </si>
  <si>
    <t>Papeles para armar nacimiento y productos de  limpieza de la casa</t>
  </si>
  <si>
    <t>Almuerzo de cumpleanos de genoveva</t>
  </si>
  <si>
    <t xml:space="preserve">Glucerna para abuelitos </t>
  </si>
  <si>
    <t>Limpieza de la casa (2 y 4 de diciembre de 2015, 23 diciembre )</t>
  </si>
  <si>
    <t>Pago de dieta-almuerzo para papa(13 dias de diciembre de 2015)</t>
  </si>
  <si>
    <t>Leche de abuelitos (diciembre 2015)</t>
  </si>
  <si>
    <t>Limpieza (Enero 15 y 30 )</t>
  </si>
  <si>
    <t>AUTOVALUO Y ARBITRIOS (30 ENERO 2016)</t>
  </si>
  <si>
    <t>cencosud</t>
  </si>
  <si>
    <t>Pago a cuenta(02/02/2016)</t>
  </si>
  <si>
    <t>Saldo de la leche glucerna para abuelitos(01/02/2016)</t>
  </si>
  <si>
    <t>Cable Claro TV (02/02/2016)</t>
  </si>
  <si>
    <t>tarjeta de credito BCP</t>
  </si>
  <si>
    <t>Deuda a papa de 2000 soles cuota 9</t>
  </si>
  <si>
    <t>PRESTAMO INTERBANK CUOTA 5 DE 60</t>
  </si>
  <si>
    <t>DEUDA DE LA LA SUNAT CUOTA 6 DE 11</t>
  </si>
  <si>
    <t>citibank soles</t>
  </si>
  <si>
    <t>citibank dolares</t>
  </si>
  <si>
    <t>lentes de contacto</t>
  </si>
  <si>
    <t>diners</t>
  </si>
  <si>
    <t>saldo febrero gastos</t>
  </si>
  <si>
    <t>gastos marzo</t>
  </si>
  <si>
    <t>ahorro marzo</t>
  </si>
  <si>
    <t>Queda:</t>
  </si>
  <si>
    <t>Adelanto de pago de deuda:</t>
  </si>
  <si>
    <t>queda para anillo y demas :</t>
  </si>
  <si>
    <t>Prestamo para Cuota para mi tia nola (18/02/2016)</t>
  </si>
  <si>
    <t>Debe estar en cuenta monedero</t>
  </si>
  <si>
    <t>saldo actual</t>
  </si>
  <si>
    <t>total gastos marzo</t>
  </si>
  <si>
    <t>IR AL MEDICO A VER MI PRESION ALTA y glucosa alta</t>
  </si>
  <si>
    <t>aprox</t>
  </si>
  <si>
    <t>=</t>
  </si>
  <si>
    <t>libros de ingles de franz</t>
  </si>
  <si>
    <t>autovaluo casa</t>
  </si>
  <si>
    <t>Pago realizado por carlos (01/03/2016)</t>
  </si>
  <si>
    <t>Prestamo para Cuota para mi tia nola (05/03/2016)</t>
  </si>
  <si>
    <t>Tarjeta cencosud</t>
  </si>
  <si>
    <t>PRESTAMO INTERBANK CUOTA 6 DE 60</t>
  </si>
  <si>
    <t>Deuda a papa de 2000 soles cuota 10</t>
  </si>
  <si>
    <t>DEUDA DE LA LA SUNAT CUOTA 7 DE 11</t>
  </si>
  <si>
    <t xml:space="preserve">deficit </t>
  </si>
  <si>
    <t>PRESTAMO INTERBANK CUOTA 7 DE 60</t>
  </si>
  <si>
    <t>DEUDA DE LA LA SUNAT CUOTA 8 DE 11</t>
  </si>
  <si>
    <t>OJO MUY IMPORTANTE PREGUNTAR</t>
  </si>
  <si>
    <t>Cuenta Charo</t>
  </si>
  <si>
    <t>Glucerna para abuelitos(31/03/2016)</t>
  </si>
  <si>
    <t>cuota del cable(31/03/2016)</t>
  </si>
  <si>
    <t>autovaluo casa(31/03/2016)</t>
  </si>
  <si>
    <t>limpieza de la casa (31/03/2016)</t>
  </si>
  <si>
    <t>liq tibio</t>
  </si>
  <si>
    <t xml:space="preserve">dexamesatona </t>
  </si>
  <si>
    <t>4mg</t>
  </si>
  <si>
    <t>2mg</t>
  </si>
  <si>
    <t xml:space="preserve">jarabe </t>
  </si>
  <si>
    <t>abrilat</t>
  </si>
  <si>
    <t>pusilexil</t>
  </si>
  <si>
    <t>10 ml 8 h</t>
  </si>
  <si>
    <t>naproxeno</t>
  </si>
  <si>
    <t>8 horas</t>
  </si>
  <si>
    <t>llidocaina</t>
  </si>
  <si>
    <t>multivioticos</t>
  </si>
  <si>
    <t>gingisona en spray</t>
  </si>
  <si>
    <t>10 ml 8h</t>
  </si>
  <si>
    <t>2 cucharadas</t>
  </si>
  <si>
    <t>3 dias</t>
  </si>
  <si>
    <t>para gastos fines de semana</t>
  </si>
  <si>
    <t>Glucerna para abuelitos(30/04/2016)</t>
  </si>
  <si>
    <t>cuota del cable(30/04/2016)</t>
  </si>
  <si>
    <t>autovaluo casa(30/04/2016)</t>
  </si>
  <si>
    <t>limpieza de la casa (30/04/2016)</t>
  </si>
  <si>
    <t>Despedida de Paul - Pollo a la brasa rockys(20/04/2016)</t>
  </si>
  <si>
    <t>cuota del almuerzo del sabado(23/04/2016)</t>
  </si>
  <si>
    <t>Antipulga para graciosita y nenita (24/04/2016)</t>
  </si>
  <si>
    <t>GASTOS MENSUALES DE HECTOR</t>
  </si>
  <si>
    <t>Glucerna para abuelitos(30/05/2016)</t>
  </si>
  <si>
    <t>cuota del cable(30/05/2016)</t>
  </si>
  <si>
    <t>autovaluo casa(30/05/2016)</t>
  </si>
  <si>
    <t>limpieza de la casa (30/05/2016)</t>
  </si>
  <si>
    <t>Compras plaza bea (06/05/2016)</t>
  </si>
  <si>
    <t>cuenta entre charo, carlos, papa y hector</t>
  </si>
  <si>
    <t>Compra de truchas del sabado (07/05/2016)</t>
  </si>
  <si>
    <t>Compra de chuletas tia celia (07/05/2016)</t>
  </si>
  <si>
    <t>DEUDA DE LA LA SUNAT CUOTA 9 DE 11</t>
  </si>
  <si>
    <t>PRESTAMO INTERBANK CUOTA 8 DE 60</t>
  </si>
  <si>
    <t>cuota de cumpleanios de cristian</t>
  </si>
  <si>
    <t>genoveva</t>
  </si>
  <si>
    <t xml:space="preserve">charo ya pago </t>
  </si>
  <si>
    <t>carlos ya pago</t>
  </si>
  <si>
    <t>total de charo</t>
  </si>
  <si>
    <t>descuento de carlos</t>
  </si>
  <si>
    <t>descuento de charo</t>
  </si>
  <si>
    <t>charo dejo para bitel</t>
  </si>
  <si>
    <t>saldo de charo</t>
  </si>
  <si>
    <t>saldo de carlos</t>
  </si>
  <si>
    <t>PRESTAMO INTERBANK CUOTA 9 DE 60</t>
  </si>
  <si>
    <t>DEUDA DE LA LA SUNAT CUOTA 10 DE 11</t>
  </si>
  <si>
    <t>Glucerna para abuelitos(30/06/2016)</t>
  </si>
  <si>
    <t>cuota del cable(30/06/2016)</t>
  </si>
  <si>
    <t>autovaluo casa(30/06/2016)</t>
  </si>
  <si>
    <t>limpieza de la casa (30/06/2016)</t>
  </si>
  <si>
    <t>Cuenta  Junio</t>
  </si>
  <si>
    <t>pago de mant 50 k del auto</t>
  </si>
  <si>
    <t>precio actual glucerna</t>
  </si>
  <si>
    <t>PRESTAMO INTERBANK CUOTA 10 DE 50</t>
  </si>
  <si>
    <t>PRESTAMO INTERBANK CUOTA 11 DE 50</t>
  </si>
  <si>
    <t>CUENTA DE VIAJE A PUNTA SAL</t>
  </si>
  <si>
    <t>T.C</t>
  </si>
  <si>
    <t>Pasaje de Hector Hernandez Alvarado</t>
  </si>
  <si>
    <t>Pasaje de Rocio Montalvo</t>
  </si>
  <si>
    <t>Dolares</t>
  </si>
  <si>
    <t>Soles</t>
  </si>
  <si>
    <t>Royal decameron punta sal Hector</t>
  </si>
  <si>
    <t>Royal decameron punta sal Rocio</t>
  </si>
  <si>
    <t xml:space="preserve">Hector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</si>
</sst>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8" formatCode="&quot;S/.&quot;\ #,##0.00;[Red]&quot;S/.&quot;\ \-#,##0.00"/>
  </numFmts>
  <fonts count="2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rgb="FF2A2A2A"/>
      <name val="Segoe UI"/>
      <family val="2"/>
    </font>
    <font>
      <sz val="11"/>
      <color rgb="FF2A2A2A"/>
      <name val="Calibri"/>
      <family val="2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8"/>
      <color theme="1"/>
      <name val="Calibri"/>
      <family val="2"/>
      <scheme val="minor"/>
    </font>
    <font>
      <sz val="8"/>
      <color rgb="FFFF0000"/>
      <name val="Calibri"/>
      <family val="2"/>
      <scheme val="minor"/>
    </font>
    <font>
      <b/>
      <sz val="8"/>
      <color rgb="FFFF0000"/>
      <name val="Calibri"/>
      <family val="2"/>
      <scheme val="minor"/>
    </font>
    <font>
      <sz val="9"/>
      <color rgb="FF666699"/>
      <name val="Lucida Sans Unicode"/>
      <family val="2"/>
    </font>
    <font>
      <sz val="9"/>
      <color rgb="FF333333"/>
      <name val="Arial"/>
      <family val="2"/>
    </font>
    <font>
      <b/>
      <sz val="8"/>
      <name val="Calibri"/>
      <family val="2"/>
      <scheme val="minor"/>
    </font>
    <font>
      <sz val="8"/>
      <name val="Calibri"/>
      <family val="2"/>
      <scheme val="minor"/>
    </font>
    <font>
      <u/>
      <sz val="8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b/>
      <u/>
      <sz val="8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E8EDFF"/>
        <bgColor indexed="64"/>
      </patternFill>
    </fill>
    <fill>
      <patternFill patternType="solid">
        <fgColor rgb="FFD0DAFD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4F1F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47C7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rgb="FFFFFFFF"/>
      </right>
      <top/>
      <bottom/>
      <diagonal/>
    </border>
    <border>
      <left/>
      <right style="medium">
        <color rgb="FFFFFFFF"/>
      </right>
      <top style="medium">
        <color rgb="FFFFFFFF"/>
      </top>
      <bottom/>
      <diagonal/>
    </border>
    <border>
      <left/>
      <right/>
      <top/>
      <bottom style="medium">
        <color rgb="FFCCCCCC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06">
    <xf numFmtId="0" fontId="0" fillId="0" borderId="0" xfId="0"/>
    <xf numFmtId="0" fontId="2" fillId="2" borderId="0" xfId="0" applyFont="1" applyFill="1"/>
    <xf numFmtId="0" fontId="1" fillId="0" borderId="0" xfId="0" applyFont="1"/>
    <xf numFmtId="0" fontId="0" fillId="2" borderId="0" xfId="0" applyFill="1"/>
    <xf numFmtId="0" fontId="0" fillId="0" borderId="0" xfId="0" applyFill="1"/>
    <xf numFmtId="0" fontId="1" fillId="2" borderId="0" xfId="0" applyFont="1" applyFill="1"/>
    <xf numFmtId="0" fontId="3" fillId="0" borderId="0" xfId="0" applyFont="1"/>
    <xf numFmtId="0" fontId="1" fillId="0" borderId="0" xfId="0" applyFont="1" applyFill="1"/>
    <xf numFmtId="0" fontId="0" fillId="3" borderId="0" xfId="0" applyFill="1"/>
    <xf numFmtId="0" fontId="4" fillId="4" borderId="0" xfId="0" applyFont="1" applyFill="1"/>
    <xf numFmtId="0" fontId="0" fillId="5" borderId="0" xfId="0" applyFill="1"/>
    <xf numFmtId="0" fontId="1" fillId="5" borderId="0" xfId="0" applyFont="1" applyFill="1"/>
    <xf numFmtId="0" fontId="0" fillId="6" borderId="0" xfId="0" applyFill="1"/>
    <xf numFmtId="0" fontId="0" fillId="0" borderId="0" xfId="0" applyFill="1" applyBorder="1"/>
    <xf numFmtId="0" fontId="3" fillId="0" borderId="0" xfId="0" applyFont="1" applyFill="1"/>
    <xf numFmtId="0" fontId="0" fillId="7" borderId="0" xfId="0" applyFill="1"/>
    <xf numFmtId="0" fontId="0" fillId="2" borderId="0" xfId="0" applyFill="1" applyBorder="1"/>
    <xf numFmtId="0" fontId="0" fillId="8" borderId="0" xfId="0" applyFill="1"/>
    <xf numFmtId="0" fontId="0" fillId="9" borderId="0" xfId="0" applyFill="1"/>
    <xf numFmtId="0" fontId="1" fillId="9" borderId="0" xfId="0" applyFont="1" applyFill="1"/>
    <xf numFmtId="0" fontId="0" fillId="2" borderId="0" xfId="0" applyFill="1" applyBorder="1" applyAlignment="1">
      <alignment horizontal="left" indent="1"/>
    </xf>
    <xf numFmtId="0" fontId="0" fillId="2" borderId="0" xfId="0" applyFont="1" applyFill="1" applyBorder="1" applyAlignment="1">
      <alignment horizontal="left" indent="1"/>
    </xf>
    <xf numFmtId="0" fontId="0" fillId="0" borderId="0" xfId="0" applyFill="1" applyBorder="1" applyAlignment="1">
      <alignment horizontal="left" indent="1"/>
    </xf>
    <xf numFmtId="0" fontId="1" fillId="0" borderId="0" xfId="0" applyFont="1" applyFill="1" applyBorder="1"/>
    <xf numFmtId="0" fontId="5" fillId="2" borderId="0" xfId="0" applyFont="1" applyFill="1"/>
    <xf numFmtId="0" fontId="5" fillId="0" borderId="0" xfId="0" applyFont="1" applyFill="1"/>
    <xf numFmtId="0" fontId="6" fillId="0" borderId="0" xfId="0" applyFont="1" applyFill="1"/>
    <xf numFmtId="0" fontId="2" fillId="0" borderId="0" xfId="0" applyFont="1" applyFill="1"/>
    <xf numFmtId="0" fontId="4" fillId="0" borderId="0" xfId="0" applyFont="1" applyFill="1"/>
    <xf numFmtId="0" fontId="0" fillId="10" borderId="0" xfId="0" applyFill="1"/>
    <xf numFmtId="0" fontId="0" fillId="11" borderId="0" xfId="0" applyFill="1"/>
    <xf numFmtId="0" fontId="0" fillId="5" borderId="0" xfId="0" applyFill="1" applyBorder="1"/>
    <xf numFmtId="0" fontId="5" fillId="5" borderId="0" xfId="0" applyFont="1" applyFill="1"/>
    <xf numFmtId="0" fontId="0" fillId="12" borderId="0" xfId="0" applyFill="1"/>
    <xf numFmtId="0" fontId="1" fillId="0" borderId="0" xfId="0" applyFont="1" applyFill="1" applyAlignment="1">
      <alignment horizontal="center" wrapText="1"/>
    </xf>
    <xf numFmtId="0" fontId="6" fillId="13" borderId="0" xfId="0" applyFont="1" applyFill="1"/>
    <xf numFmtId="0" fontId="0" fillId="4" borderId="0" xfId="0" applyFill="1"/>
    <xf numFmtId="0" fontId="6" fillId="2" borderId="0" xfId="0" applyFont="1" applyFill="1"/>
    <xf numFmtId="0" fontId="6" fillId="2" borderId="0" xfId="0" applyFont="1" applyFill="1" applyBorder="1"/>
    <xf numFmtId="0" fontId="7" fillId="2" borderId="0" xfId="0" applyFont="1" applyFill="1"/>
    <xf numFmtId="0" fontId="0" fillId="2" borderId="0" xfId="0" applyFont="1" applyFill="1" applyBorder="1"/>
    <xf numFmtId="0" fontId="0" fillId="2" borderId="0" xfId="0" applyFont="1" applyFill="1"/>
    <xf numFmtId="0" fontId="5" fillId="2" borderId="0" xfId="0" applyFont="1" applyFill="1" applyBorder="1"/>
    <xf numFmtId="0" fontId="1" fillId="14" borderId="0" xfId="0" applyFont="1" applyFill="1"/>
    <xf numFmtId="0" fontId="0" fillId="0" borderId="0" xfId="0" applyFont="1" applyFill="1" applyBorder="1"/>
    <xf numFmtId="0" fontId="1" fillId="2" borderId="0" xfId="0" applyFont="1" applyFill="1" applyBorder="1"/>
    <xf numFmtId="0" fontId="8" fillId="0" borderId="0" xfId="0" applyFont="1" applyAlignment="1">
      <alignment horizontal="left" wrapText="1" indent="1"/>
    </xf>
    <xf numFmtId="0" fontId="9" fillId="0" borderId="0" xfId="0" applyFont="1" applyAlignment="1">
      <alignment horizontal="right" wrapText="1"/>
    </xf>
    <xf numFmtId="0" fontId="0" fillId="15" borderId="0" xfId="0" applyFill="1" applyBorder="1"/>
    <xf numFmtId="0" fontId="0" fillId="0" borderId="1" xfId="0" applyFill="1" applyBorder="1"/>
    <xf numFmtId="0" fontId="3" fillId="0" borderId="1" xfId="0" applyFont="1" applyFill="1" applyBorder="1"/>
    <xf numFmtId="0" fontId="0" fillId="0" borderId="3" xfId="0" applyFill="1" applyBorder="1"/>
    <xf numFmtId="0" fontId="6" fillId="0" borderId="4" xfId="0" applyFont="1" applyFill="1" applyBorder="1"/>
    <xf numFmtId="0" fontId="1" fillId="14" borderId="5" xfId="0" applyFont="1" applyFill="1" applyBorder="1"/>
    <xf numFmtId="0" fontId="0" fillId="0" borderId="6" xfId="0" applyFill="1" applyBorder="1"/>
    <xf numFmtId="0" fontId="0" fillId="0" borderId="7" xfId="0" applyFill="1" applyBorder="1"/>
    <xf numFmtId="0" fontId="3" fillId="0" borderId="7" xfId="0" applyFont="1" applyFill="1" applyBorder="1"/>
    <xf numFmtId="0" fontId="1" fillId="0" borderId="6" xfId="0" applyFont="1" applyFill="1" applyBorder="1"/>
    <xf numFmtId="0" fontId="0" fillId="0" borderId="8" xfId="0" applyFill="1" applyBorder="1"/>
    <xf numFmtId="0" fontId="0" fillId="0" borderId="9" xfId="0" applyFill="1" applyBorder="1"/>
    <xf numFmtId="0" fontId="0" fillId="0" borderId="10" xfId="0" applyFill="1" applyBorder="1"/>
    <xf numFmtId="0" fontId="1" fillId="2" borderId="2" xfId="0" applyFont="1" applyFill="1" applyBorder="1"/>
    <xf numFmtId="0" fontId="1" fillId="0" borderId="5" xfId="0" applyFont="1" applyFill="1" applyBorder="1"/>
    <xf numFmtId="0" fontId="1" fillId="7" borderId="0" xfId="0" applyFont="1" applyFill="1"/>
    <xf numFmtId="0" fontId="1" fillId="16" borderId="0" xfId="0" applyFont="1" applyFill="1"/>
    <xf numFmtId="0" fontId="0" fillId="17" borderId="0" xfId="0" applyFill="1"/>
    <xf numFmtId="0" fontId="10" fillId="0" borderId="0" xfId="0" applyFont="1" applyFill="1"/>
    <xf numFmtId="0" fontId="11" fillId="0" borderId="0" xfId="0" applyFont="1" applyFill="1"/>
    <xf numFmtId="0" fontId="11" fillId="0" borderId="0" xfId="0" applyFont="1" applyFill="1" applyBorder="1"/>
    <xf numFmtId="0" fontId="12" fillId="0" borderId="0" xfId="0" applyFont="1" applyFill="1"/>
    <xf numFmtId="0" fontId="11" fillId="2" borderId="0" xfId="0" applyFont="1" applyFill="1" applyBorder="1"/>
    <xf numFmtId="0" fontId="11" fillId="2" borderId="0" xfId="0" applyFont="1" applyFill="1"/>
    <xf numFmtId="0" fontId="10" fillId="2" borderId="0" xfId="0" applyFont="1" applyFill="1"/>
    <xf numFmtId="0" fontId="10" fillId="2" borderId="0" xfId="0" applyFont="1" applyFill="1" applyBorder="1"/>
    <xf numFmtId="0" fontId="10" fillId="0" borderId="0" xfId="0" applyFont="1" applyFill="1" applyBorder="1"/>
    <xf numFmtId="0" fontId="11" fillId="0" borderId="0" xfId="0" applyFont="1" applyFill="1" applyBorder="1" applyAlignment="1">
      <alignment horizontal="left" indent="1"/>
    </xf>
    <xf numFmtId="0" fontId="13" fillId="0" borderId="0" xfId="0" applyFont="1" applyFill="1"/>
    <xf numFmtId="0" fontId="11" fillId="2" borderId="0" xfId="0" applyFont="1" applyFill="1" applyBorder="1" applyAlignment="1">
      <alignment horizontal="left" indent="1"/>
    </xf>
    <xf numFmtId="0" fontId="13" fillId="2" borderId="0" xfId="0" applyFont="1" applyFill="1"/>
    <xf numFmtId="0" fontId="11" fillId="0" borderId="3" xfId="0" applyFont="1" applyFill="1" applyBorder="1"/>
    <xf numFmtId="0" fontId="13" fillId="0" borderId="4" xfId="0" applyFont="1" applyFill="1" applyBorder="1"/>
    <xf numFmtId="0" fontId="10" fillId="0" borderId="5" xfId="0" applyFont="1" applyFill="1" applyBorder="1"/>
    <xf numFmtId="0" fontId="11" fillId="0" borderId="6" xfId="0" applyFont="1" applyFill="1" applyBorder="1"/>
    <xf numFmtId="0" fontId="11" fillId="0" borderId="1" xfId="0" applyFont="1" applyFill="1" applyBorder="1"/>
    <xf numFmtId="0" fontId="11" fillId="0" borderId="7" xfId="0" applyFont="1" applyFill="1" applyBorder="1"/>
    <xf numFmtId="0" fontId="10" fillId="0" borderId="1" xfId="0" applyFont="1" applyFill="1" applyBorder="1"/>
    <xf numFmtId="0" fontId="10" fillId="0" borderId="7" xfId="0" applyFont="1" applyFill="1" applyBorder="1"/>
    <xf numFmtId="0" fontId="10" fillId="0" borderId="6" xfId="0" applyFont="1" applyFill="1" applyBorder="1"/>
    <xf numFmtId="0" fontId="11" fillId="0" borderId="8" xfId="0" applyFont="1" applyFill="1" applyBorder="1"/>
    <xf numFmtId="0" fontId="11" fillId="0" borderId="9" xfId="0" applyFont="1" applyFill="1" applyBorder="1"/>
    <xf numFmtId="0" fontId="11" fillId="0" borderId="10" xfId="0" applyFont="1" applyFill="1" applyBorder="1"/>
    <xf numFmtId="0" fontId="11" fillId="18" borderId="0" xfId="0" applyFont="1" applyFill="1"/>
    <xf numFmtId="0" fontId="11" fillId="19" borderId="0" xfId="0" applyFont="1" applyFill="1"/>
    <xf numFmtId="0" fontId="12" fillId="2" borderId="0" xfId="0" applyFont="1" applyFill="1"/>
    <xf numFmtId="16" fontId="11" fillId="0" borderId="0" xfId="0" applyNumberFormat="1" applyFont="1" applyFill="1"/>
    <xf numFmtId="16" fontId="11" fillId="2" borderId="0" xfId="0" applyNumberFormat="1" applyFont="1" applyFill="1"/>
    <xf numFmtId="0" fontId="11" fillId="20" borderId="0" xfId="0" applyFont="1" applyFill="1"/>
    <xf numFmtId="0" fontId="11" fillId="21" borderId="0" xfId="0" applyFont="1" applyFill="1"/>
    <xf numFmtId="0" fontId="10" fillId="21" borderId="0" xfId="0" applyFont="1" applyFill="1"/>
    <xf numFmtId="0" fontId="11" fillId="2" borderId="0" xfId="0" applyFont="1" applyFill="1" applyAlignment="1">
      <alignment horizontal="right"/>
    </xf>
    <xf numFmtId="0" fontId="14" fillId="0" borderId="5" xfId="0" applyFont="1" applyFill="1" applyBorder="1"/>
    <xf numFmtId="0" fontId="10" fillId="18" borderId="0" xfId="0" applyFont="1" applyFill="1"/>
    <xf numFmtId="0" fontId="0" fillId="22" borderId="0" xfId="0" applyFill="1"/>
    <xf numFmtId="0" fontId="13" fillId="0" borderId="1" xfId="0" applyFont="1" applyFill="1" applyBorder="1"/>
    <xf numFmtId="0" fontId="11" fillId="4" borderId="1" xfId="0" applyFont="1" applyFill="1" applyBorder="1"/>
    <xf numFmtId="0" fontId="13" fillId="0" borderId="0" xfId="0" applyFont="1" applyFill="1" applyBorder="1"/>
    <xf numFmtId="0" fontId="11" fillId="4" borderId="0" xfId="0" applyFont="1" applyFill="1" applyBorder="1"/>
    <xf numFmtId="0" fontId="1" fillId="18" borderId="0" xfId="0" applyFont="1" applyFill="1"/>
    <xf numFmtId="0" fontId="0" fillId="0" borderId="0" xfId="0" applyFont="1"/>
    <xf numFmtId="0" fontId="11" fillId="22" borderId="0" xfId="0" applyFont="1" applyFill="1"/>
    <xf numFmtId="0" fontId="10" fillId="22" borderId="0" xfId="0" applyFont="1" applyFill="1"/>
    <xf numFmtId="0" fontId="11" fillId="2" borderId="1" xfId="0" applyFont="1" applyFill="1" applyBorder="1"/>
    <xf numFmtId="0" fontId="0" fillId="18" borderId="0" xfId="0" applyFill="1"/>
    <xf numFmtId="0" fontId="11" fillId="0" borderId="0" xfId="0" applyFont="1" applyFill="1" applyAlignment="1">
      <alignment horizontal="right"/>
    </xf>
    <xf numFmtId="0" fontId="11" fillId="0" borderId="0" xfId="0" applyNumberFormat="1" applyFont="1" applyFill="1"/>
    <xf numFmtId="0" fontId="11" fillId="12" borderId="0" xfId="0" applyFont="1" applyFill="1"/>
    <xf numFmtId="0" fontId="11" fillId="23" borderId="0" xfId="0" applyFont="1" applyFill="1"/>
    <xf numFmtId="0" fontId="13" fillId="23" borderId="0" xfId="0" applyFont="1" applyFill="1"/>
    <xf numFmtId="0" fontId="11" fillId="24" borderId="0" xfId="0" applyFont="1" applyFill="1"/>
    <xf numFmtId="0" fontId="10" fillId="24" borderId="0" xfId="0" applyFont="1" applyFill="1"/>
    <xf numFmtId="0" fontId="11" fillId="24" borderId="0" xfId="0" applyFont="1" applyFill="1" applyAlignment="1">
      <alignment horizontal="right"/>
    </xf>
    <xf numFmtId="2" fontId="11" fillId="0" borderId="0" xfId="0" applyNumberFormat="1" applyFont="1" applyFill="1"/>
    <xf numFmtId="0" fontId="0" fillId="25" borderId="0" xfId="0" applyFill="1"/>
    <xf numFmtId="0" fontId="11" fillId="18" borderId="0" xfId="0" applyNumberFormat="1" applyFont="1" applyFill="1"/>
    <xf numFmtId="0" fontId="11" fillId="14" borderId="0" xfId="0" applyFont="1" applyFill="1"/>
    <xf numFmtId="0" fontId="15" fillId="26" borderId="11" xfId="0" applyFont="1" applyFill="1" applyBorder="1" applyAlignment="1">
      <alignment horizontal="right" vertical="center" wrapText="1"/>
    </xf>
    <xf numFmtId="0" fontId="15" fillId="27" borderId="12" xfId="0" applyFont="1" applyFill="1" applyBorder="1" applyAlignment="1">
      <alignment horizontal="right" vertical="center" wrapText="1"/>
    </xf>
    <xf numFmtId="0" fontId="15" fillId="26" borderId="12" xfId="0" applyFont="1" applyFill="1" applyBorder="1" applyAlignment="1">
      <alignment horizontal="right" vertical="center" wrapText="1"/>
    </xf>
    <xf numFmtId="8" fontId="16" fillId="28" borderId="0" xfId="0" applyNumberFormat="1" applyFont="1" applyFill="1" applyAlignment="1">
      <alignment horizontal="left" vertical="top" wrapText="1" indent="1"/>
    </xf>
    <xf numFmtId="8" fontId="16" fillId="29" borderId="13" xfId="0" applyNumberFormat="1" applyFont="1" applyFill="1" applyBorder="1" applyAlignment="1">
      <alignment horizontal="left" vertical="top" wrapText="1" indent="1"/>
    </xf>
    <xf numFmtId="8" fontId="0" fillId="2" borderId="0" xfId="0" applyNumberFormat="1" applyFill="1"/>
    <xf numFmtId="0" fontId="0" fillId="30" borderId="0" xfId="0" applyFill="1"/>
    <xf numFmtId="0" fontId="11" fillId="21" borderId="0" xfId="0" applyFont="1" applyFill="1" applyAlignment="1">
      <alignment horizontal="right"/>
    </xf>
    <xf numFmtId="0" fontId="11" fillId="31" borderId="0" xfId="0" applyFont="1" applyFill="1"/>
    <xf numFmtId="0" fontId="10" fillId="31" borderId="0" xfId="0" applyFont="1" applyFill="1"/>
    <xf numFmtId="0" fontId="13" fillId="2" borderId="0" xfId="0" applyFont="1" applyFill="1" applyBorder="1"/>
    <xf numFmtId="0" fontId="11" fillId="0" borderId="0" xfId="0" applyFont="1"/>
    <xf numFmtId="0" fontId="10" fillId="25" borderId="1" xfId="0" applyFont="1" applyFill="1" applyBorder="1"/>
    <xf numFmtId="0" fontId="11" fillId="25" borderId="1" xfId="0" applyFont="1" applyFill="1" applyBorder="1"/>
    <xf numFmtId="0" fontId="1" fillId="0" borderId="1" xfId="0" applyFont="1" applyBorder="1"/>
    <xf numFmtId="0" fontId="0" fillId="0" borderId="1" xfId="0" applyBorder="1"/>
    <xf numFmtId="0" fontId="1" fillId="0" borderId="1" xfId="0" applyFont="1" applyBorder="1" applyAlignment="1">
      <alignment horizontal="right"/>
    </xf>
    <xf numFmtId="14" fontId="0" fillId="0" borderId="1" xfId="0" applyNumberFormat="1" applyBorder="1"/>
    <xf numFmtId="0" fontId="0" fillId="0" borderId="0" xfId="0" applyAlignment="1">
      <alignment horizontal="center"/>
    </xf>
    <xf numFmtId="0" fontId="1" fillId="9" borderId="0" xfId="0" applyFont="1" applyFill="1" applyAlignment="1">
      <alignment horizontal="center"/>
    </xf>
    <xf numFmtId="0" fontId="17" fillId="0" borderId="0" xfId="0" applyFont="1" applyFill="1"/>
    <xf numFmtId="0" fontId="18" fillId="0" borderId="0" xfId="0" applyFont="1" applyFill="1"/>
    <xf numFmtId="0" fontId="18" fillId="0" borderId="0" xfId="0" applyFont="1" applyFill="1" applyBorder="1"/>
    <xf numFmtId="0" fontId="19" fillId="0" borderId="0" xfId="0" applyFont="1" applyFill="1"/>
    <xf numFmtId="0" fontId="18" fillId="0" borderId="0" xfId="0" applyFont="1" applyFill="1" applyAlignment="1">
      <alignment horizontal="right"/>
    </xf>
    <xf numFmtId="0" fontId="18" fillId="0" borderId="0" xfId="0" applyNumberFormat="1" applyFont="1" applyFill="1"/>
    <xf numFmtId="0" fontId="17" fillId="0" borderId="0" xfId="0" applyFont="1" applyFill="1" applyBorder="1"/>
    <xf numFmtId="0" fontId="18" fillId="0" borderId="0" xfId="0" applyFont="1" applyFill="1" applyBorder="1" applyAlignment="1">
      <alignment horizontal="left" indent="1"/>
    </xf>
    <xf numFmtId="0" fontId="18" fillId="0" borderId="3" xfId="0" applyFont="1" applyFill="1" applyBorder="1"/>
    <xf numFmtId="0" fontId="18" fillId="0" borderId="4" xfId="0" applyFont="1" applyFill="1" applyBorder="1"/>
    <xf numFmtId="0" fontId="17" fillId="0" borderId="5" xfId="0" applyFont="1" applyFill="1" applyBorder="1"/>
    <xf numFmtId="0" fontId="18" fillId="0" borderId="6" xfId="0" applyFont="1" applyFill="1" applyBorder="1"/>
    <xf numFmtId="0" fontId="18" fillId="0" borderId="1" xfId="0" applyFont="1" applyFill="1" applyBorder="1"/>
    <xf numFmtId="0" fontId="18" fillId="0" borderId="7" xfId="0" applyFont="1" applyFill="1" applyBorder="1"/>
    <xf numFmtId="0" fontId="17" fillId="0" borderId="1" xfId="0" applyFont="1" applyFill="1" applyBorder="1"/>
    <xf numFmtId="0" fontId="17" fillId="0" borderId="7" xfId="0" applyFont="1" applyFill="1" applyBorder="1"/>
    <xf numFmtId="0" fontId="17" fillId="0" borderId="6" xfId="0" applyFont="1" applyFill="1" applyBorder="1"/>
    <xf numFmtId="0" fontId="18" fillId="0" borderId="8" xfId="0" applyFont="1" applyFill="1" applyBorder="1"/>
    <xf numFmtId="0" fontId="18" fillId="0" borderId="9" xfId="0" applyFont="1" applyFill="1" applyBorder="1"/>
    <xf numFmtId="0" fontId="18" fillId="0" borderId="10" xfId="0" applyFont="1" applyFill="1" applyBorder="1"/>
    <xf numFmtId="0" fontId="18" fillId="2" borderId="0" xfId="0" applyFont="1" applyFill="1" applyBorder="1"/>
    <xf numFmtId="0" fontId="18" fillId="2" borderId="0" xfId="0" applyFont="1" applyFill="1" applyBorder="1" applyAlignment="1">
      <alignment horizontal="left" indent="1"/>
    </xf>
    <xf numFmtId="0" fontId="18" fillId="2" borderId="0" xfId="0" applyFont="1" applyFill="1"/>
    <xf numFmtId="0" fontId="17" fillId="2" borderId="0" xfId="0" applyFont="1" applyFill="1" applyBorder="1"/>
    <xf numFmtId="0" fontId="17" fillId="2" borderId="0" xfId="0" applyFont="1" applyFill="1"/>
    <xf numFmtId="0" fontId="17" fillId="25" borderId="0" xfId="0" applyFont="1" applyFill="1" applyBorder="1"/>
    <xf numFmtId="0" fontId="1" fillId="25" borderId="0" xfId="0" applyFont="1" applyFill="1"/>
    <xf numFmtId="0" fontId="0" fillId="17" borderId="0" xfId="0" applyFill="1" applyAlignment="1">
      <alignment horizontal="center"/>
    </xf>
    <xf numFmtId="0" fontId="7" fillId="9" borderId="0" xfId="0" applyFont="1" applyFill="1" applyAlignment="1">
      <alignment horizontal="center"/>
    </xf>
    <xf numFmtId="0" fontId="1" fillId="17" borderId="1" xfId="0" applyFont="1" applyFill="1" applyBorder="1"/>
    <xf numFmtId="0" fontId="0" fillId="0" borderId="1" xfId="0" applyFont="1" applyBorder="1"/>
    <xf numFmtId="0" fontId="20" fillId="0" borderId="0" xfId="0" applyFont="1"/>
    <xf numFmtId="0" fontId="0" fillId="0" borderId="14" xfId="0" applyBorder="1"/>
    <xf numFmtId="0" fontId="0" fillId="2" borderId="15" xfId="0" applyFill="1" applyBorder="1"/>
    <xf numFmtId="0" fontId="0" fillId="0" borderId="15" xfId="0" applyBorder="1"/>
    <xf numFmtId="0" fontId="0" fillId="0" borderId="16" xfId="0" applyBorder="1"/>
    <xf numFmtId="0" fontId="1" fillId="0" borderId="1" xfId="0" applyFont="1" applyFill="1" applyBorder="1"/>
    <xf numFmtId="0" fontId="21" fillId="0" borderId="0" xfId="0" applyFont="1" applyFill="1"/>
    <xf numFmtId="0" fontId="17" fillId="0" borderId="17" xfId="0" applyFont="1" applyFill="1" applyBorder="1"/>
    <xf numFmtId="0" fontId="17" fillId="0" borderId="18" xfId="0" applyFont="1" applyFill="1" applyBorder="1"/>
    <xf numFmtId="0" fontId="17" fillId="0" borderId="19" xfId="0" applyFont="1" applyFill="1" applyBorder="1"/>
    <xf numFmtId="0" fontId="18" fillId="0" borderId="20" xfId="0" applyFont="1" applyFill="1" applyBorder="1"/>
    <xf numFmtId="0" fontId="18" fillId="0" borderId="19" xfId="0" applyFont="1" applyFill="1" applyBorder="1"/>
    <xf numFmtId="0" fontId="18" fillId="0" borderId="21" xfId="0" applyFont="1" applyFill="1" applyBorder="1"/>
    <xf numFmtId="0" fontId="18" fillId="2" borderId="22" xfId="0" applyFont="1" applyFill="1" applyBorder="1"/>
    <xf numFmtId="0" fontId="18" fillId="0" borderId="17" xfId="0" applyFont="1" applyFill="1" applyBorder="1"/>
    <xf numFmtId="0" fontId="18" fillId="0" borderId="18" xfId="0" applyFont="1" applyFill="1" applyBorder="1"/>
    <xf numFmtId="0" fontId="18" fillId="2" borderId="20" xfId="0" applyFont="1" applyFill="1" applyBorder="1"/>
    <xf numFmtId="0" fontId="18" fillId="0" borderId="22" xfId="0" applyFont="1" applyFill="1" applyBorder="1"/>
    <xf numFmtId="0" fontId="18" fillId="32" borderId="0" xfId="0" applyFont="1" applyFill="1"/>
    <xf numFmtId="0" fontId="11" fillId="0" borderId="1" xfId="0" applyFont="1" applyBorder="1"/>
    <xf numFmtId="0" fontId="18" fillId="2" borderId="0" xfId="0" applyFont="1" applyFill="1" applyBorder="1" applyAlignment="1">
      <alignment horizontal="left"/>
    </xf>
    <xf numFmtId="0" fontId="18" fillId="0" borderId="0" xfId="0" applyFont="1" applyFill="1" applyAlignment="1">
      <alignment wrapText="1"/>
    </xf>
    <xf numFmtId="0" fontId="18" fillId="2" borderId="0" xfId="0" applyFont="1" applyFill="1" applyAlignment="1">
      <alignment wrapText="1"/>
    </xf>
    <xf numFmtId="0" fontId="18" fillId="2" borderId="0" xfId="0" applyFont="1" applyFill="1" applyAlignment="1">
      <alignment horizontal="right"/>
    </xf>
    <xf numFmtId="0" fontId="18" fillId="7" borderId="0" xfId="0" applyFont="1" applyFill="1"/>
    <xf numFmtId="0" fontId="18" fillId="0" borderId="0" xfId="0" applyFont="1" applyFill="1" applyBorder="1" applyAlignment="1">
      <alignment horizontal="left"/>
    </xf>
    <xf numFmtId="0" fontId="0" fillId="33" borderId="0" xfId="0" applyFill="1"/>
    <xf numFmtId="0" fontId="0" fillId="34" borderId="0" xfId="0" applyFill="1"/>
    <xf numFmtId="0" fontId="1" fillId="33" borderId="0" xfId="0" applyFont="1" applyFill="1"/>
    <xf numFmtId="0" fontId="1" fillId="34" borderId="0" xfId="0" applyFont="1" applyFill="1"/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F47C7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theme" Target="theme/theme1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styles" Target="style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calcChain" Target="calcChain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238125</xdr:colOff>
          <xdr:row>3</xdr:row>
          <xdr:rowOff>9525</xdr:rowOff>
        </xdr:from>
        <xdr:to>
          <xdr:col>4</xdr:col>
          <xdr:colOff>457200</xdr:colOff>
          <xdr:row>3</xdr:row>
          <xdr:rowOff>180975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4</xdr:row>
          <xdr:rowOff>9525</xdr:rowOff>
        </xdr:from>
        <xdr:to>
          <xdr:col>4</xdr:col>
          <xdr:colOff>466725</xdr:colOff>
          <xdr:row>4</xdr:row>
          <xdr:rowOff>180975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5</xdr:row>
          <xdr:rowOff>9525</xdr:rowOff>
        </xdr:from>
        <xdr:to>
          <xdr:col>4</xdr:col>
          <xdr:colOff>466725</xdr:colOff>
          <xdr:row>5</xdr:row>
          <xdr:rowOff>180975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1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4.bin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5.bin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6.bin"/></Relationships>
</file>

<file path=xl/worksheets/_rels/sheet83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7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8.bin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7"/>
  <sheetViews>
    <sheetView workbookViewId="0">
      <selection activeCell="E18" sqref="E18"/>
    </sheetView>
  </sheetViews>
  <sheetFormatPr baseColWidth="10"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3" ht="18.75" x14ac:dyDescent="0.3">
      <c r="A1" s="1" t="s">
        <v>0</v>
      </c>
    </row>
    <row r="2" spans="1:13" x14ac:dyDescent="0.25">
      <c r="C2" t="s">
        <v>1</v>
      </c>
      <c r="D2" t="s">
        <v>2</v>
      </c>
      <c r="E2" s="2" t="s">
        <v>3</v>
      </c>
    </row>
    <row r="3" spans="1:13" x14ac:dyDescent="0.25">
      <c r="A3" t="s">
        <v>4</v>
      </c>
      <c r="B3">
        <v>430</v>
      </c>
      <c r="C3" t="s">
        <v>5</v>
      </c>
      <c r="D3">
        <v>430</v>
      </c>
      <c r="E3" t="s">
        <v>6</v>
      </c>
    </row>
    <row r="4" spans="1:13" s="3" customFormat="1" x14ac:dyDescent="0.25">
      <c r="A4" s="3" t="s">
        <v>7</v>
      </c>
      <c r="B4" s="3">
        <v>290.27</v>
      </c>
      <c r="C4" s="3" t="s">
        <v>5</v>
      </c>
      <c r="D4" s="3" t="s">
        <v>8</v>
      </c>
      <c r="E4" s="3" t="s">
        <v>6</v>
      </c>
      <c r="M4" s="3">
        <f>11900*0.2</f>
        <v>2380</v>
      </c>
    </row>
    <row r="5" spans="1:13" s="3" customFormat="1" x14ac:dyDescent="0.25">
      <c r="A5" s="3" t="s">
        <v>9</v>
      </c>
      <c r="B5" s="3">
        <f>215+9*2.88</f>
        <v>240.92</v>
      </c>
      <c r="C5" s="3" t="s">
        <v>5</v>
      </c>
      <c r="D5" s="3" t="s">
        <v>8</v>
      </c>
      <c r="E5" s="3" t="s">
        <v>6</v>
      </c>
    </row>
    <row r="6" spans="1:13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6</v>
      </c>
    </row>
    <row r="7" spans="1:13" x14ac:dyDescent="0.25">
      <c r="A7" t="s">
        <v>11</v>
      </c>
      <c r="B7">
        <v>104</v>
      </c>
      <c r="C7" t="s">
        <v>5</v>
      </c>
    </row>
    <row r="8" spans="1:13" s="3" customFormat="1" x14ac:dyDescent="0.25">
      <c r="A8" s="3" t="s">
        <v>12</v>
      </c>
      <c r="B8" s="3">
        <v>92</v>
      </c>
      <c r="C8" s="3" t="s">
        <v>5</v>
      </c>
      <c r="D8" s="3" t="s">
        <v>8</v>
      </c>
      <c r="E8" s="3" t="s">
        <v>6</v>
      </c>
    </row>
    <row r="9" spans="1:13" s="3" customFormat="1" x14ac:dyDescent="0.25">
      <c r="A9" s="3" t="s">
        <v>13</v>
      </c>
      <c r="B9" s="3">
        <v>122.18</v>
      </c>
      <c r="C9" s="3" t="s">
        <v>5</v>
      </c>
      <c r="D9" s="3" t="s">
        <v>8</v>
      </c>
      <c r="E9" s="3" t="s">
        <v>6</v>
      </c>
    </row>
    <row r="10" spans="1:13" s="3" customFormat="1" x14ac:dyDescent="0.25">
      <c r="A10" s="3" t="s">
        <v>14</v>
      </c>
      <c r="B10" s="3">
        <v>115</v>
      </c>
      <c r="C10" s="3" t="s">
        <v>5</v>
      </c>
      <c r="D10" s="3" t="s">
        <v>8</v>
      </c>
      <c r="E10" s="3" t="s">
        <v>6</v>
      </c>
    </row>
    <row r="11" spans="1:13" s="4" customFormat="1" x14ac:dyDescent="0.25">
      <c r="A11" s="4" t="s">
        <v>15</v>
      </c>
      <c r="B11" s="4">
        <v>20</v>
      </c>
    </row>
    <row r="12" spans="1:13" s="3" customFormat="1" x14ac:dyDescent="0.25">
      <c r="A12" s="3" t="s">
        <v>15</v>
      </c>
      <c r="B12" s="3">
        <v>40</v>
      </c>
      <c r="C12" s="3" t="s">
        <v>16</v>
      </c>
      <c r="D12" s="3" t="s">
        <v>8</v>
      </c>
      <c r="E12" s="3" t="s">
        <v>6</v>
      </c>
    </row>
    <row r="13" spans="1:13" s="3" customFormat="1" x14ac:dyDescent="0.25">
      <c r="A13" s="3" t="s">
        <v>17</v>
      </c>
      <c r="B13" s="3">
        <v>5</v>
      </c>
      <c r="C13" s="3" t="s">
        <v>5</v>
      </c>
      <c r="D13" s="3" t="s">
        <v>8</v>
      </c>
      <c r="E13" s="3" t="s">
        <v>6</v>
      </c>
      <c r="J13" s="5" t="s">
        <v>18</v>
      </c>
    </row>
    <row r="14" spans="1:13" x14ac:dyDescent="0.25">
      <c r="E14" t="s">
        <v>19</v>
      </c>
      <c r="F14">
        <f>1677.71-B16</f>
        <v>938.88883211678842</v>
      </c>
      <c r="G14">
        <f>3521/2.84</f>
        <v>1239.7887323943662</v>
      </c>
      <c r="H14">
        <v>1000</v>
      </c>
      <c r="I14">
        <v>4000</v>
      </c>
      <c r="J14" s="2">
        <f>SUM(F14:I14)</f>
        <v>7178.6775645111547</v>
      </c>
    </row>
    <row r="15" spans="1:13" ht="15.75" x14ac:dyDescent="0.25">
      <c r="A15" t="s">
        <v>20</v>
      </c>
      <c r="B15" s="6">
        <f>SUM(B3:B14)</f>
        <v>2024.3700000000001</v>
      </c>
      <c r="C15" s="6"/>
      <c r="D15" s="6"/>
      <c r="J15">
        <v>4000</v>
      </c>
    </row>
    <row r="16" spans="1:13" x14ac:dyDescent="0.25">
      <c r="B16">
        <f>B15/2.74</f>
        <v>738.82116788321161</v>
      </c>
      <c r="J16">
        <v>1000</v>
      </c>
    </row>
    <row r="17" spans="2:10" x14ac:dyDescent="0.25">
      <c r="E17" s="2" t="s">
        <v>21</v>
      </c>
      <c r="J17">
        <f>SUM(J14:J16)</f>
        <v>12178.677564511156</v>
      </c>
    </row>
    <row r="18" spans="2:10" x14ac:dyDescent="0.25">
      <c r="D18">
        <v>1309</v>
      </c>
      <c r="E18" s="2">
        <f>1309-B16</f>
        <v>570.17883211678839</v>
      </c>
      <c r="J18">
        <f>6500-J17</f>
        <v>-5678.6775645111557</v>
      </c>
    </row>
    <row r="25" spans="2:10" x14ac:dyDescent="0.25">
      <c r="B25">
        <v>6500</v>
      </c>
      <c r="C25">
        <v>11890</v>
      </c>
    </row>
    <row r="26" spans="2:10" x14ac:dyDescent="0.25">
      <c r="C26">
        <v>-12850</v>
      </c>
    </row>
    <row r="27" spans="2:10" x14ac:dyDescent="0.25">
      <c r="C27">
        <f>SUM(C25:C26)</f>
        <v>-960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topLeftCell="A2" workbookViewId="0">
      <selection activeCell="D3" sqref="D3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56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100+25+50+60+65</f>
        <v>300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291.49</v>
      </c>
      <c r="C4" s="16" t="s">
        <v>23</v>
      </c>
      <c r="D4" s="16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21</v>
      </c>
      <c r="C5" s="16"/>
      <c r="D5" s="16">
        <f>B5</f>
        <v>21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 t="shared" ref="D6:D11" si="0"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 t="shared" si="0"/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 t="shared" si="0"/>
        <v>130.76</v>
      </c>
      <c r="E11" s="3" t="s">
        <v>23</v>
      </c>
    </row>
    <row r="12" spans="1:16" s="10" customFormat="1" x14ac:dyDescent="0.25">
      <c r="A12" s="13" t="s">
        <v>15</v>
      </c>
      <c r="B12" s="13">
        <v>60</v>
      </c>
      <c r="C12" s="13" t="s">
        <v>23</v>
      </c>
      <c r="D12" s="13">
        <f>20+20</f>
        <v>40</v>
      </c>
      <c r="E12" s="4" t="s">
        <v>23</v>
      </c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f>5</f>
        <v>5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10" customFormat="1" x14ac:dyDescent="0.25">
      <c r="A17" s="13" t="s">
        <v>54</v>
      </c>
      <c r="B17" s="13">
        <v>300</v>
      </c>
      <c r="C17" s="13"/>
      <c r="D17" s="13">
        <f>280</f>
        <v>280</v>
      </c>
      <c r="E17" s="4"/>
      <c r="F17" s="4"/>
      <c r="G17" s="4"/>
      <c r="H17" s="4"/>
      <c r="I17" s="4"/>
      <c r="J17" s="7"/>
      <c r="K17" s="4"/>
      <c r="L17" s="4"/>
      <c r="M17" s="4"/>
      <c r="N17" s="4"/>
      <c r="O17" s="4"/>
      <c r="P17" s="4"/>
    </row>
    <row r="18" spans="1:16" x14ac:dyDescent="0.25">
      <c r="A18" s="13"/>
      <c r="B18" s="13"/>
      <c r="C18" s="13"/>
      <c r="D18" s="13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</row>
    <row r="19" spans="1:16" s="4" customFormat="1" x14ac:dyDescent="0.25">
      <c r="D19" s="13">
        <v>0</v>
      </c>
      <c r="G19" s="4">
        <v>57.16</v>
      </c>
      <c r="H19" s="4">
        <f>D3-B3</f>
        <v>-100</v>
      </c>
      <c r="J19" s="7"/>
    </row>
    <row r="20" spans="1:16" s="4" customFormat="1" x14ac:dyDescent="0.25">
      <c r="A20" s="4" t="s">
        <v>31</v>
      </c>
      <c r="B20" s="4">
        <f>SUM(D3:D17)</f>
        <v>2427.6200789999998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145</v>
      </c>
      <c r="C21" s="4">
        <f>B21+2076.83</f>
        <v>2221.83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17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2572.6200789999998</v>
      </c>
      <c r="C23" s="14">
        <f>B5+23.44+549.24</f>
        <v>593.68000000000006</v>
      </c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938.91243759124075</v>
      </c>
      <c r="C24" s="4">
        <f>5*2.88</f>
        <v>14.399999999999999</v>
      </c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>
        <f>21+23.44+549.24</f>
        <v>593.68000000000006</v>
      </c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1491-B24</f>
        <v>552.08756240875925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F11"/>
  <sheetViews>
    <sheetView workbookViewId="0">
      <selection activeCell="J31" sqref="J31"/>
    </sheetView>
  </sheetViews>
  <sheetFormatPr baseColWidth="10" defaultRowHeight="15" x14ac:dyDescent="0.25"/>
  <sheetData>
    <row r="3" spans="3:6" x14ac:dyDescent="0.25">
      <c r="C3">
        <v>4000</v>
      </c>
      <c r="F3">
        <v>5000</v>
      </c>
    </row>
    <row r="4" spans="3:6" x14ac:dyDescent="0.25">
      <c r="C4">
        <f>-0.1*C3</f>
        <v>-400</v>
      </c>
      <c r="F4">
        <f>-0.1*F3</f>
        <v>-500</v>
      </c>
    </row>
    <row r="5" spans="3:6" x14ac:dyDescent="0.25">
      <c r="C5">
        <f>0.16*C4</f>
        <v>-64</v>
      </c>
      <c r="D5">
        <f>64/400*100</f>
        <v>16</v>
      </c>
      <c r="F5">
        <f>0.16*F4</f>
        <v>-80</v>
      </c>
    </row>
    <row r="6" spans="3:6" x14ac:dyDescent="0.25">
      <c r="C6">
        <f>-C3*1.3/100</f>
        <v>-52</v>
      </c>
      <c r="F6">
        <f>-F3*1.3/100</f>
        <v>-65</v>
      </c>
    </row>
    <row r="7" spans="3:6" x14ac:dyDescent="0.25">
      <c r="C7">
        <v>-420</v>
      </c>
      <c r="F7">
        <v>-420</v>
      </c>
    </row>
    <row r="9" spans="3:6" x14ac:dyDescent="0.25">
      <c r="C9" s="3">
        <f>SUM(C3:C8)</f>
        <v>3064</v>
      </c>
      <c r="F9" s="3">
        <f>SUM(F3:F8)</f>
        <v>3935</v>
      </c>
    </row>
    <row r="10" spans="3:6" x14ac:dyDescent="0.25">
      <c r="C10">
        <v>1400</v>
      </c>
    </row>
    <row r="11" spans="3:6" x14ac:dyDescent="0.25">
      <c r="C11" s="3">
        <f>SUM(C9:C10)</f>
        <v>4464</v>
      </c>
    </row>
  </sheetData>
  <pageMargins left="0.7" right="0.7" top="0.75" bottom="0.75" header="0.3" footer="0.3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K14"/>
  <sheetViews>
    <sheetView workbookViewId="0">
      <selection activeCell="K9" sqref="K9"/>
    </sheetView>
  </sheetViews>
  <sheetFormatPr baseColWidth="10" defaultRowHeight="15" x14ac:dyDescent="0.25"/>
  <sheetData>
    <row r="4" spans="2:11" x14ac:dyDescent="0.25">
      <c r="E4">
        <f>1350*3.3</f>
        <v>4455</v>
      </c>
      <c r="F4">
        <v>800</v>
      </c>
    </row>
    <row r="5" spans="2:11" x14ac:dyDescent="0.25">
      <c r="F5">
        <v>800</v>
      </c>
    </row>
    <row r="6" spans="2:11" x14ac:dyDescent="0.25">
      <c r="F6">
        <v>1700</v>
      </c>
    </row>
    <row r="7" spans="2:11" x14ac:dyDescent="0.25">
      <c r="F7">
        <f>SUM(F4:F6)</f>
        <v>3300</v>
      </c>
      <c r="H7">
        <f>E4-F7</f>
        <v>1155</v>
      </c>
      <c r="K7">
        <v>163.92</v>
      </c>
    </row>
    <row r="8" spans="2:11" x14ac:dyDescent="0.25">
      <c r="B8">
        <v>7</v>
      </c>
      <c r="D8">
        <v>19</v>
      </c>
      <c r="K8">
        <v>3.3</v>
      </c>
    </row>
    <row r="9" spans="2:11" x14ac:dyDescent="0.25">
      <c r="B9">
        <v>24</v>
      </c>
      <c r="D9">
        <v>24</v>
      </c>
      <c r="K9">
        <f>K7*K8</f>
        <v>540.93599999999992</v>
      </c>
    </row>
    <row r="10" spans="2:11" x14ac:dyDescent="0.25">
      <c r="H10">
        <v>17</v>
      </c>
      <c r="I10">
        <v>40</v>
      </c>
    </row>
    <row r="11" spans="2:11" x14ac:dyDescent="0.25">
      <c r="B11">
        <v>17</v>
      </c>
      <c r="D11">
        <v>5</v>
      </c>
      <c r="H11">
        <v>17</v>
      </c>
      <c r="I11">
        <v>40</v>
      </c>
    </row>
    <row r="12" spans="2:11" x14ac:dyDescent="0.25">
      <c r="H12">
        <v>5</v>
      </c>
      <c r="I12">
        <v>10</v>
      </c>
    </row>
    <row r="13" spans="2:11" x14ac:dyDescent="0.25">
      <c r="H13">
        <v>5</v>
      </c>
      <c r="I13">
        <v>10</v>
      </c>
    </row>
    <row r="14" spans="2:11" x14ac:dyDescent="0.25">
      <c r="H14" s="3">
        <f>SUM(H10:H13)</f>
        <v>44</v>
      </c>
      <c r="I14">
        <f>17/H14*100</f>
        <v>38.636363636363633</v>
      </c>
    </row>
  </sheetData>
  <pageMargins left="0.7" right="0.7" top="0.75" bottom="0.75" header="0.3" footer="0.3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workbookViewId="0">
      <selection activeCell="D8" sqref="D8"/>
    </sheetView>
  </sheetViews>
  <sheetFormatPr baseColWidth="10" defaultRowHeight="15" x14ac:dyDescent="0.25"/>
  <sheetData>
    <row r="1" spans="1:13" x14ac:dyDescent="0.25">
      <c r="A1" t="s">
        <v>411</v>
      </c>
      <c r="E1" t="s">
        <v>412</v>
      </c>
    </row>
    <row r="2" spans="1:13" ht="15.75" thickBot="1" x14ac:dyDescent="0.3">
      <c r="A2" s="125">
        <v>106.49</v>
      </c>
      <c r="E2" s="128">
        <v>7.5</v>
      </c>
      <c r="G2">
        <v>190</v>
      </c>
      <c r="I2">
        <v>3.37</v>
      </c>
    </row>
    <row r="3" spans="1:13" ht="15.75" thickBot="1" x14ac:dyDescent="0.3">
      <c r="A3" s="126">
        <v>53</v>
      </c>
      <c r="E3" s="128">
        <v>32.5</v>
      </c>
      <c r="G3">
        <v>169</v>
      </c>
      <c r="H3">
        <v>1360</v>
      </c>
      <c r="I3">
        <v>3.55</v>
      </c>
    </row>
    <row r="4" spans="1:13" ht="15.75" thickBot="1" x14ac:dyDescent="0.3">
      <c r="A4" s="127">
        <v>52.4</v>
      </c>
      <c r="E4" s="129">
        <v>20</v>
      </c>
      <c r="I4">
        <f>H3*I3</f>
        <v>4828</v>
      </c>
      <c r="J4">
        <f>H3*I2</f>
        <v>4583.2</v>
      </c>
    </row>
    <row r="5" spans="1:13" ht="15.75" thickBot="1" x14ac:dyDescent="0.3">
      <c r="A5" s="127">
        <v>469</v>
      </c>
      <c r="H5" s="3"/>
      <c r="I5" s="3"/>
      <c r="J5" s="3"/>
      <c r="K5" s="3"/>
      <c r="L5" s="3"/>
      <c r="M5" s="3"/>
    </row>
    <row r="6" spans="1:13" ht="15.75" thickBot="1" x14ac:dyDescent="0.3">
      <c r="A6" s="127">
        <v>149.9</v>
      </c>
      <c r="E6" s="130">
        <f>SUM(E2:E5)</f>
        <v>60</v>
      </c>
      <c r="G6" t="s">
        <v>413</v>
      </c>
      <c r="H6" s="3">
        <v>69</v>
      </c>
      <c r="I6" s="131" t="s">
        <v>417</v>
      </c>
      <c r="J6" s="3"/>
      <c r="K6" s="3"/>
      <c r="L6" s="3"/>
      <c r="M6" s="3"/>
    </row>
    <row r="7" spans="1:13" ht="15.75" thickBot="1" x14ac:dyDescent="0.3">
      <c r="A7" s="127">
        <v>22.5</v>
      </c>
      <c r="H7" s="131">
        <v>89</v>
      </c>
      <c r="I7" s="131" t="s">
        <v>416</v>
      </c>
      <c r="J7" s="131">
        <v>200</v>
      </c>
      <c r="K7" s="3"/>
      <c r="L7" s="3"/>
      <c r="M7" s="3"/>
    </row>
    <row r="8" spans="1:13" ht="15.75" thickBot="1" x14ac:dyDescent="0.3">
      <c r="A8" s="127">
        <v>65.28</v>
      </c>
      <c r="H8" s="3">
        <v>119</v>
      </c>
      <c r="I8" s="3" t="s">
        <v>415</v>
      </c>
      <c r="J8" s="3">
        <v>400</v>
      </c>
      <c r="K8" s="3"/>
      <c r="L8" s="3"/>
      <c r="M8" s="3"/>
    </row>
    <row r="9" spans="1:13" ht="15.75" thickBot="1" x14ac:dyDescent="0.3">
      <c r="A9" s="127">
        <v>40</v>
      </c>
      <c r="B9">
        <f>SUM(A2:A9)</f>
        <v>958.56999999999994</v>
      </c>
      <c r="H9" s="3">
        <v>164</v>
      </c>
      <c r="I9" s="3" t="s">
        <v>414</v>
      </c>
      <c r="J9" s="3"/>
      <c r="K9" s="3"/>
      <c r="L9" s="3"/>
      <c r="M9" s="3"/>
    </row>
    <row r="10" spans="1:13" ht="15.75" thickBot="1" x14ac:dyDescent="0.3">
      <c r="A10" s="127">
        <v>4.5</v>
      </c>
      <c r="H10" s="3"/>
      <c r="I10" s="3"/>
      <c r="J10" s="3"/>
      <c r="K10" s="3"/>
      <c r="L10" s="3"/>
      <c r="M10" s="3"/>
    </row>
    <row r="11" spans="1:13" ht="15.75" thickBot="1" x14ac:dyDescent="0.3">
      <c r="A11" s="127">
        <v>4.0999999999999996</v>
      </c>
      <c r="H11" s="3"/>
      <c r="I11" s="3"/>
      <c r="J11" s="3"/>
      <c r="K11" s="3"/>
      <c r="L11" s="3"/>
      <c r="M11" s="3"/>
    </row>
    <row r="12" spans="1:13" ht="15.75" thickBot="1" x14ac:dyDescent="0.3">
      <c r="A12" s="127">
        <v>9.9</v>
      </c>
      <c r="I12">
        <v>997634785</v>
      </c>
      <c r="J12" t="s">
        <v>418</v>
      </c>
    </row>
    <row r="13" spans="1:13" ht="15.75" thickBot="1" x14ac:dyDescent="0.3">
      <c r="A13" s="127">
        <v>88</v>
      </c>
    </row>
    <row r="14" spans="1:13" ht="15.75" thickBot="1" x14ac:dyDescent="0.3">
      <c r="A14" s="127">
        <v>9.5</v>
      </c>
      <c r="I14">
        <v>460</v>
      </c>
      <c r="J14">
        <v>3.37</v>
      </c>
      <c r="K14">
        <f>I14/J14</f>
        <v>136.49851632047478</v>
      </c>
    </row>
    <row r="15" spans="1:13" ht="15.75" thickBot="1" x14ac:dyDescent="0.3">
      <c r="A15" s="127">
        <v>42.38</v>
      </c>
      <c r="B15">
        <f>SUM(A2:A15)</f>
        <v>1116.95</v>
      </c>
    </row>
    <row r="16" spans="1:13" ht="15.75" thickBot="1" x14ac:dyDescent="0.3">
      <c r="A16" s="127">
        <v>40</v>
      </c>
    </row>
    <row r="17" spans="1:1" ht="15.75" thickBot="1" x14ac:dyDescent="0.3">
      <c r="A17" s="127">
        <v>9.98</v>
      </c>
    </row>
    <row r="18" spans="1:1" ht="15.75" thickBot="1" x14ac:dyDescent="0.3">
      <c r="A18" s="127">
        <v>40</v>
      </c>
    </row>
    <row r="19" spans="1:1" ht="15.75" thickBot="1" x14ac:dyDescent="0.3">
      <c r="A19" s="127">
        <v>51.8</v>
      </c>
    </row>
    <row r="20" spans="1:1" ht="15.75" thickBot="1" x14ac:dyDescent="0.3">
      <c r="A20" s="127">
        <v>54</v>
      </c>
    </row>
    <row r="21" spans="1:1" ht="15.75" thickBot="1" x14ac:dyDescent="0.3">
      <c r="A21" s="127">
        <v>18.71</v>
      </c>
    </row>
    <row r="22" spans="1:1" ht="15.75" thickBot="1" x14ac:dyDescent="0.3">
      <c r="A22" s="127">
        <v>16.899999999999999</v>
      </c>
    </row>
    <row r="23" spans="1:1" ht="15.75" thickBot="1" x14ac:dyDescent="0.3">
      <c r="A23" s="127">
        <v>36.799999999999997</v>
      </c>
    </row>
    <row r="24" spans="1:1" ht="15.75" thickBot="1" x14ac:dyDescent="0.3">
      <c r="A24" s="127">
        <v>3.78</v>
      </c>
    </row>
    <row r="25" spans="1:1" ht="15.75" thickBot="1" x14ac:dyDescent="0.3">
      <c r="A25" s="127">
        <v>3.57</v>
      </c>
    </row>
    <row r="26" spans="1:1" ht="15.75" thickBot="1" x14ac:dyDescent="0.3">
      <c r="A26" s="127">
        <v>3.3</v>
      </c>
    </row>
    <row r="27" spans="1:1" ht="15.75" thickBot="1" x14ac:dyDescent="0.3">
      <c r="A27" s="127">
        <v>41.5</v>
      </c>
    </row>
    <row r="28" spans="1:1" ht="15.75" thickBot="1" x14ac:dyDescent="0.3">
      <c r="A28" s="127">
        <v>12.68</v>
      </c>
    </row>
    <row r="29" spans="1:1" ht="15.75" thickBot="1" x14ac:dyDescent="0.3">
      <c r="A29" s="127">
        <v>27</v>
      </c>
    </row>
    <row r="30" spans="1:1" ht="15.75" thickBot="1" x14ac:dyDescent="0.3">
      <c r="A30" s="127">
        <v>7.9</v>
      </c>
    </row>
    <row r="31" spans="1:1" ht="15.75" thickBot="1" x14ac:dyDescent="0.3">
      <c r="A31" s="127">
        <v>3.3</v>
      </c>
    </row>
    <row r="32" spans="1:1" x14ac:dyDescent="0.25">
      <c r="A32" s="127">
        <v>20</v>
      </c>
    </row>
    <row r="34" spans="1:1" x14ac:dyDescent="0.25">
      <c r="A34" s="3">
        <f>SUM(A2:A33)</f>
        <v>1508.17</v>
      </c>
    </row>
  </sheetData>
  <pageMargins left="0.7" right="0.7" top="0.75" bottom="0.75" header="0.3" footer="0.3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L10"/>
  <sheetViews>
    <sheetView workbookViewId="0">
      <selection activeCell="E10" sqref="E10"/>
    </sheetView>
  </sheetViews>
  <sheetFormatPr baseColWidth="10" defaultRowHeight="15" x14ac:dyDescent="0.25"/>
  <sheetData>
    <row r="4" spans="2:12" x14ac:dyDescent="0.25">
      <c r="G4">
        <f>G6*0.6</f>
        <v>840</v>
      </c>
      <c r="J4" s="122"/>
      <c r="K4" s="122"/>
      <c r="L4" s="122"/>
    </row>
    <row r="5" spans="2:12" x14ac:dyDescent="0.25">
      <c r="B5" s="122"/>
      <c r="C5" s="122">
        <v>2.94</v>
      </c>
      <c r="D5" s="122">
        <v>3.55</v>
      </c>
      <c r="G5">
        <f>1700</f>
        <v>1700</v>
      </c>
      <c r="J5" s="122"/>
      <c r="K5" s="8"/>
      <c r="L5" s="122"/>
    </row>
    <row r="6" spans="2:12" x14ac:dyDescent="0.25">
      <c r="B6" s="122"/>
      <c r="C6" s="8">
        <f>C7/C5</f>
        <v>748.63945578231289</v>
      </c>
      <c r="D6" s="122">
        <v>620</v>
      </c>
      <c r="G6">
        <v>1400</v>
      </c>
      <c r="J6" s="122"/>
      <c r="K6" s="122"/>
      <c r="L6" s="122"/>
    </row>
    <row r="7" spans="2:12" x14ac:dyDescent="0.25">
      <c r="B7" s="122" t="s">
        <v>410</v>
      </c>
      <c r="C7" s="122">
        <v>2201</v>
      </c>
      <c r="D7" s="122">
        <f>D6*D5</f>
        <v>2201</v>
      </c>
      <c r="G7" s="3">
        <f>(G6-G4)+60</f>
        <v>620</v>
      </c>
      <c r="H7">
        <f>G6-G4</f>
        <v>560</v>
      </c>
    </row>
    <row r="9" spans="2:12" x14ac:dyDescent="0.25">
      <c r="G9">
        <f>620*3.55</f>
        <v>2201</v>
      </c>
    </row>
    <row r="10" spans="2:12" x14ac:dyDescent="0.25">
      <c r="C10">
        <f>C5*C6</f>
        <v>2201</v>
      </c>
    </row>
  </sheetData>
  <pageMargins left="0.7" right="0.7" top="0.75" bottom="0.75" header="0.3" footer="0.3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2"/>
  <sheetViews>
    <sheetView workbookViewId="0">
      <selection activeCell="H6" sqref="H6"/>
    </sheetView>
  </sheetViews>
  <sheetFormatPr baseColWidth="10" defaultRowHeight="15" x14ac:dyDescent="0.25"/>
  <cols>
    <col min="2" max="2" width="26.5703125" bestFit="1" customWidth="1"/>
  </cols>
  <sheetData>
    <row r="1" spans="1:9" x14ac:dyDescent="0.25">
      <c r="B1" t="s">
        <v>289</v>
      </c>
    </row>
    <row r="3" spans="1:9" x14ac:dyDescent="0.25">
      <c r="A3">
        <v>20141018</v>
      </c>
      <c r="B3" t="s">
        <v>325</v>
      </c>
      <c r="C3">
        <v>54.6</v>
      </c>
      <c r="H3">
        <v>1400</v>
      </c>
      <c r="I3">
        <v>1300</v>
      </c>
    </row>
    <row r="4" spans="1:9" x14ac:dyDescent="0.25">
      <c r="A4">
        <v>20141018</v>
      </c>
      <c r="B4" t="s">
        <v>386</v>
      </c>
      <c r="C4">
        <v>56.66</v>
      </c>
      <c r="H4">
        <f>1400</f>
        <v>1400</v>
      </c>
      <c r="I4">
        <v>1250</v>
      </c>
    </row>
    <row r="5" spans="1:9" x14ac:dyDescent="0.25">
      <c r="A5">
        <v>20141020</v>
      </c>
      <c r="B5" t="s">
        <v>84</v>
      </c>
      <c r="C5">
        <v>40</v>
      </c>
      <c r="H5">
        <v>3.52</v>
      </c>
      <c r="I5">
        <v>3.69</v>
      </c>
    </row>
    <row r="6" spans="1:9" x14ac:dyDescent="0.25">
      <c r="A6">
        <v>20141020</v>
      </c>
      <c r="B6" t="s">
        <v>387</v>
      </c>
      <c r="C6">
        <v>4.92</v>
      </c>
      <c r="H6">
        <f>H4*H5</f>
        <v>4928</v>
      </c>
      <c r="I6">
        <f>I4*I5</f>
        <v>4612.5</v>
      </c>
    </row>
    <row r="7" spans="1:9" x14ac:dyDescent="0.25">
      <c r="A7">
        <v>20141022</v>
      </c>
      <c r="B7" t="s">
        <v>387</v>
      </c>
      <c r="C7">
        <v>4.92</v>
      </c>
      <c r="H7">
        <f>0.4*H6</f>
        <v>1971.2</v>
      </c>
    </row>
    <row r="8" spans="1:9" x14ac:dyDescent="0.25">
      <c r="A8">
        <v>20141022</v>
      </c>
      <c r="B8" t="s">
        <v>388</v>
      </c>
      <c r="C8">
        <v>33.67</v>
      </c>
    </row>
    <row r="9" spans="1:9" x14ac:dyDescent="0.25">
      <c r="A9">
        <v>20141023</v>
      </c>
      <c r="B9" t="s">
        <v>389</v>
      </c>
      <c r="C9">
        <v>25.76</v>
      </c>
      <c r="F9">
        <v>1400</v>
      </c>
      <c r="G9">
        <f>F9*0.6</f>
        <v>840</v>
      </c>
    </row>
    <row r="10" spans="1:9" x14ac:dyDescent="0.25">
      <c r="A10">
        <v>20141025</v>
      </c>
      <c r="B10" t="s">
        <v>84</v>
      </c>
      <c r="C10">
        <v>40</v>
      </c>
      <c r="G10" s="3">
        <f>F9*0.4</f>
        <v>560</v>
      </c>
      <c r="H10" s="3">
        <v>50</v>
      </c>
      <c r="I10" s="3">
        <f>G10+H10</f>
        <v>610</v>
      </c>
    </row>
    <row r="11" spans="1:9" x14ac:dyDescent="0.25">
      <c r="A11">
        <v>20141023</v>
      </c>
      <c r="B11" t="s">
        <v>390</v>
      </c>
      <c r="C11">
        <v>35.18</v>
      </c>
    </row>
    <row r="12" spans="1:9" x14ac:dyDescent="0.25">
      <c r="A12">
        <v>20141027</v>
      </c>
      <c r="B12" t="s">
        <v>391</v>
      </c>
      <c r="C12">
        <v>8.5</v>
      </c>
      <c r="G12">
        <f>G9+G10</f>
        <v>1400</v>
      </c>
    </row>
    <row r="13" spans="1:9" x14ac:dyDescent="0.25">
      <c r="A13">
        <v>20141027</v>
      </c>
      <c r="B13" t="s">
        <v>84</v>
      </c>
      <c r="C13">
        <v>40</v>
      </c>
    </row>
    <row r="14" spans="1:9" x14ac:dyDescent="0.25">
      <c r="A14">
        <v>20141028</v>
      </c>
      <c r="B14" t="s">
        <v>54</v>
      </c>
      <c r="C14">
        <v>623</v>
      </c>
      <c r="G14" s="112">
        <f>G9*H5</f>
        <v>2956.8</v>
      </c>
    </row>
    <row r="22" spans="3:5" x14ac:dyDescent="0.25">
      <c r="C22" s="102">
        <f>SUM(C3:C20)</f>
        <v>967.21</v>
      </c>
      <c r="D22" s="4"/>
      <c r="E22" s="4"/>
    </row>
  </sheetData>
  <pageMargins left="0.7" right="0.7" top="0.75" bottom="0.75" header="0.3" footer="0.3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3"/>
  <sheetViews>
    <sheetView workbookViewId="0">
      <selection activeCell="G20" sqref="G20"/>
    </sheetView>
  </sheetViews>
  <sheetFormatPr baseColWidth="10" defaultRowHeight="15" x14ac:dyDescent="0.25"/>
  <cols>
    <col min="1" max="1" width="34.7109375" customWidth="1"/>
    <col min="2" max="2" width="16.28515625" customWidth="1"/>
  </cols>
  <sheetData>
    <row r="1" spans="1:2" x14ac:dyDescent="0.25">
      <c r="A1" s="2" t="s">
        <v>331</v>
      </c>
    </row>
    <row r="2" spans="1:2" x14ac:dyDescent="0.25">
      <c r="A2" s="2"/>
    </row>
    <row r="3" spans="1:2" x14ac:dyDescent="0.25">
      <c r="A3" s="2" t="s">
        <v>342</v>
      </c>
    </row>
    <row r="5" spans="1:2" x14ac:dyDescent="0.25">
      <c r="A5" s="2" t="s">
        <v>332</v>
      </c>
      <c r="B5" s="2" t="s">
        <v>333</v>
      </c>
    </row>
    <row r="6" spans="1:2" x14ac:dyDescent="0.25">
      <c r="A6" s="2" t="s">
        <v>339</v>
      </c>
      <c r="B6" s="2"/>
    </row>
    <row r="7" spans="1:2" x14ac:dyDescent="0.25">
      <c r="A7" t="s">
        <v>334</v>
      </c>
      <c r="B7">
        <v>15</v>
      </c>
    </row>
    <row r="8" spans="1:2" x14ac:dyDescent="0.25">
      <c r="A8" t="s">
        <v>335</v>
      </c>
      <c r="B8">
        <v>12</v>
      </c>
    </row>
    <row r="9" spans="1:2" x14ac:dyDescent="0.25">
      <c r="A9" t="s">
        <v>336</v>
      </c>
      <c r="B9">
        <v>8</v>
      </c>
    </row>
    <row r="10" spans="1:2" x14ac:dyDescent="0.25">
      <c r="A10" t="s">
        <v>337</v>
      </c>
      <c r="B10">
        <v>4</v>
      </c>
    </row>
    <row r="11" spans="1:2" x14ac:dyDescent="0.25">
      <c r="A11" t="s">
        <v>338</v>
      </c>
      <c r="B11">
        <v>6</v>
      </c>
    </row>
    <row r="12" spans="1:2" x14ac:dyDescent="0.25">
      <c r="A12" s="2" t="s">
        <v>340</v>
      </c>
    </row>
    <row r="13" spans="1:2" x14ac:dyDescent="0.25">
      <c r="A13" t="s">
        <v>341</v>
      </c>
      <c r="B13">
        <v>15</v>
      </c>
    </row>
    <row r="14" spans="1:2" x14ac:dyDescent="0.25">
      <c r="A14" t="s">
        <v>343</v>
      </c>
      <c r="B14">
        <v>11</v>
      </c>
    </row>
    <row r="15" spans="1:2" x14ac:dyDescent="0.25">
      <c r="A15" t="s">
        <v>344</v>
      </c>
      <c r="B15">
        <v>1</v>
      </c>
    </row>
    <row r="16" spans="1:2" x14ac:dyDescent="0.25">
      <c r="A16" t="s">
        <v>345</v>
      </c>
      <c r="B16">
        <v>24</v>
      </c>
    </row>
    <row r="17" spans="1:2" x14ac:dyDescent="0.25">
      <c r="A17" t="s">
        <v>346</v>
      </c>
      <c r="B17">
        <v>6</v>
      </c>
    </row>
    <row r="18" spans="1:2" x14ac:dyDescent="0.25">
      <c r="A18" t="s">
        <v>347</v>
      </c>
      <c r="B18">
        <v>1</v>
      </c>
    </row>
    <row r="19" spans="1:2" x14ac:dyDescent="0.25">
      <c r="A19" t="s">
        <v>348</v>
      </c>
      <c r="B19">
        <v>5</v>
      </c>
    </row>
    <row r="20" spans="1:2" x14ac:dyDescent="0.25">
      <c r="A20" t="s">
        <v>349</v>
      </c>
      <c r="B20">
        <v>4.4000000000000004</v>
      </c>
    </row>
    <row r="21" spans="1:2" x14ac:dyDescent="0.25">
      <c r="A21" t="s">
        <v>350</v>
      </c>
      <c r="B21">
        <v>1</v>
      </c>
    </row>
    <row r="23" spans="1:2" x14ac:dyDescent="0.25">
      <c r="A23" t="s">
        <v>351</v>
      </c>
      <c r="B23" s="107">
        <f>SUM(B7:B22)</f>
        <v>113.4</v>
      </c>
    </row>
  </sheetData>
  <pageMargins left="0.7" right="0.7" top="0.75" bottom="0.75" header="0.3" footer="0.3"/>
  <pageSetup paperSize="9" orientation="portrait" r:id="rId1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6"/>
  <sheetViews>
    <sheetView workbookViewId="0">
      <selection activeCell="F3" sqref="F3"/>
    </sheetView>
  </sheetViews>
  <sheetFormatPr baseColWidth="10" defaultRowHeight="15" x14ac:dyDescent="0.25"/>
  <cols>
    <col min="2" max="2" width="21.7109375" customWidth="1"/>
  </cols>
  <sheetData>
    <row r="1" spans="1:6" x14ac:dyDescent="0.25">
      <c r="B1" t="s">
        <v>289</v>
      </c>
    </row>
    <row r="2" spans="1:6" x14ac:dyDescent="0.25">
      <c r="F2">
        <f>1201.71*2.79</f>
        <v>3352.7709</v>
      </c>
    </row>
    <row r="3" spans="1:6" x14ac:dyDescent="0.25">
      <c r="A3">
        <v>20140809</v>
      </c>
      <c r="B3" t="s">
        <v>292</v>
      </c>
      <c r="C3">
        <v>1.8</v>
      </c>
      <c r="F3">
        <f>1201.71*2.79</f>
        <v>3352.7709</v>
      </c>
    </row>
    <row r="4" spans="1:6" x14ac:dyDescent="0.25">
      <c r="B4" t="s">
        <v>291</v>
      </c>
      <c r="C4">
        <v>9.4</v>
      </c>
    </row>
    <row r="5" spans="1:6" x14ac:dyDescent="0.25">
      <c r="B5" t="s">
        <v>290</v>
      </c>
      <c r="C5">
        <v>50</v>
      </c>
    </row>
    <row r="6" spans="1:6" x14ac:dyDescent="0.25">
      <c r="A6">
        <v>20140808</v>
      </c>
      <c r="B6" t="s">
        <v>293</v>
      </c>
      <c r="C6">
        <v>25.2</v>
      </c>
    </row>
    <row r="7" spans="1:6" x14ac:dyDescent="0.25">
      <c r="A7">
        <v>20140807</v>
      </c>
      <c r="B7" t="s">
        <v>294</v>
      </c>
      <c r="C7">
        <v>13.5</v>
      </c>
    </row>
    <row r="8" spans="1:6" x14ac:dyDescent="0.25">
      <c r="A8">
        <v>20140802</v>
      </c>
      <c r="B8" t="s">
        <v>295</v>
      </c>
      <c r="C8">
        <v>3.3</v>
      </c>
    </row>
    <row r="9" spans="1:6" x14ac:dyDescent="0.25">
      <c r="B9" t="s">
        <v>296</v>
      </c>
      <c r="C9">
        <v>23.8</v>
      </c>
    </row>
    <row r="10" spans="1:6" x14ac:dyDescent="0.25">
      <c r="B10" t="s">
        <v>297</v>
      </c>
      <c r="C10">
        <v>25</v>
      </c>
    </row>
    <row r="11" spans="1:6" x14ac:dyDescent="0.25">
      <c r="B11" t="s">
        <v>298</v>
      </c>
      <c r="C11">
        <v>3.75</v>
      </c>
    </row>
    <row r="12" spans="1:6" x14ac:dyDescent="0.25">
      <c r="A12">
        <v>20140801</v>
      </c>
      <c r="B12" t="s">
        <v>290</v>
      </c>
      <c r="C12">
        <v>30</v>
      </c>
    </row>
    <row r="13" spans="1:6" x14ac:dyDescent="0.25">
      <c r="B13" t="s">
        <v>299</v>
      </c>
      <c r="C13">
        <v>8.5</v>
      </c>
    </row>
    <row r="14" spans="1:6" x14ac:dyDescent="0.25">
      <c r="B14" t="s">
        <v>300</v>
      </c>
      <c r="C14">
        <v>42</v>
      </c>
    </row>
    <row r="15" spans="1:6" x14ac:dyDescent="0.25">
      <c r="A15">
        <v>20140730</v>
      </c>
      <c r="B15" t="s">
        <v>301</v>
      </c>
      <c r="C15">
        <v>61</v>
      </c>
    </row>
    <row r="16" spans="1:6" x14ac:dyDescent="0.25">
      <c r="B16" t="s">
        <v>302</v>
      </c>
      <c r="C16">
        <v>45.19</v>
      </c>
    </row>
    <row r="17" spans="1:5" x14ac:dyDescent="0.25">
      <c r="A17">
        <v>20140725</v>
      </c>
      <c r="B17" t="s">
        <v>303</v>
      </c>
      <c r="C17">
        <v>149.80000000000001</v>
      </c>
    </row>
    <row r="18" spans="1:5" x14ac:dyDescent="0.25">
      <c r="A18">
        <v>20140720</v>
      </c>
      <c r="B18" t="s">
        <v>304</v>
      </c>
      <c r="C18">
        <v>55</v>
      </c>
    </row>
    <row r="19" spans="1:5" x14ac:dyDescent="0.25">
      <c r="A19">
        <v>20140717</v>
      </c>
      <c r="B19" t="s">
        <v>305</v>
      </c>
      <c r="C19">
        <f>159+190</f>
        <v>349</v>
      </c>
    </row>
    <row r="20" spans="1:5" x14ac:dyDescent="0.25">
      <c r="A20">
        <v>20140809</v>
      </c>
      <c r="B20" t="s">
        <v>313</v>
      </c>
      <c r="C20">
        <v>16.670000000000002</v>
      </c>
    </row>
    <row r="21" spans="1:5" x14ac:dyDescent="0.25">
      <c r="A21">
        <v>20140814</v>
      </c>
      <c r="B21" t="s">
        <v>320</v>
      </c>
      <c r="C21">
        <v>129</v>
      </c>
    </row>
    <row r="22" spans="1:5" x14ac:dyDescent="0.25">
      <c r="A22">
        <v>20140815</v>
      </c>
      <c r="B22" t="s">
        <v>84</v>
      </c>
      <c r="C22">
        <v>40</v>
      </c>
    </row>
    <row r="23" spans="1:5" x14ac:dyDescent="0.25">
      <c r="A23">
        <v>20140816</v>
      </c>
      <c r="B23" t="s">
        <v>321</v>
      </c>
      <c r="C23">
        <v>5.2</v>
      </c>
    </row>
    <row r="24" spans="1:5" x14ac:dyDescent="0.25">
      <c r="A24">
        <v>20140816</v>
      </c>
      <c r="B24" t="s">
        <v>322</v>
      </c>
      <c r="C24">
        <v>13.8</v>
      </c>
    </row>
    <row r="26" spans="1:5" x14ac:dyDescent="0.25">
      <c r="C26">
        <f>SUM(C3:C24)</f>
        <v>1100.9099999999999</v>
      </c>
      <c r="D26" s="3">
        <f>C26</f>
        <v>1100.9099999999999</v>
      </c>
      <c r="E26" s="3" t="s">
        <v>323</v>
      </c>
    </row>
  </sheetData>
  <pageMargins left="0.7" right="0.7" top="0.75" bottom="0.75" header="0.3" footer="0.3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E17" sqref="E17"/>
    </sheetView>
  </sheetViews>
  <sheetFormatPr baseColWidth="10" defaultRowHeight="15" x14ac:dyDescent="0.25"/>
  <cols>
    <col min="1" max="1" width="16.5703125" bestFit="1" customWidth="1"/>
    <col min="2" max="2" width="31.28515625" bestFit="1" customWidth="1"/>
  </cols>
  <sheetData>
    <row r="1" spans="1:6" x14ac:dyDescent="0.25">
      <c r="A1" t="s">
        <v>274</v>
      </c>
      <c r="B1">
        <v>20140724</v>
      </c>
      <c r="C1" t="s">
        <v>275</v>
      </c>
      <c r="D1">
        <v>20140725</v>
      </c>
      <c r="F1" t="s">
        <v>285</v>
      </c>
    </row>
    <row r="2" spans="1:6" x14ac:dyDescent="0.25">
      <c r="A2" t="s">
        <v>276</v>
      </c>
      <c r="B2" t="s">
        <v>278</v>
      </c>
      <c r="D2" t="s">
        <v>277</v>
      </c>
    </row>
    <row r="3" spans="1:6" x14ac:dyDescent="0.25">
      <c r="A3">
        <v>20140724</v>
      </c>
      <c r="B3" t="s">
        <v>280</v>
      </c>
      <c r="D3">
        <v>30</v>
      </c>
    </row>
    <row r="4" spans="1:6" x14ac:dyDescent="0.25">
      <c r="A4">
        <v>20140725</v>
      </c>
      <c r="B4" t="s">
        <v>279</v>
      </c>
    </row>
    <row r="5" spans="1:6" x14ac:dyDescent="0.25">
      <c r="B5" t="s">
        <v>281</v>
      </c>
      <c r="C5">
        <v>1.5</v>
      </c>
    </row>
    <row r="6" spans="1:6" x14ac:dyDescent="0.25">
      <c r="B6" t="s">
        <v>282</v>
      </c>
      <c r="C6">
        <v>3.2</v>
      </c>
    </row>
    <row r="7" spans="1:6" x14ac:dyDescent="0.25">
      <c r="B7" t="s">
        <v>283</v>
      </c>
      <c r="C7">
        <v>1</v>
      </c>
    </row>
    <row r="8" spans="1:6" x14ac:dyDescent="0.25">
      <c r="D8">
        <f>SUM(C5:C7)</f>
        <v>5.7</v>
      </c>
    </row>
    <row r="9" spans="1:6" x14ac:dyDescent="0.25">
      <c r="A9">
        <v>20140725</v>
      </c>
      <c r="B9" t="s">
        <v>284</v>
      </c>
      <c r="D9">
        <v>50</v>
      </c>
    </row>
    <row r="10" spans="1:6" x14ac:dyDescent="0.25">
      <c r="D10" s="3">
        <f>SUM(D3:D9)</f>
        <v>85.7</v>
      </c>
    </row>
    <row r="11" spans="1:6" x14ac:dyDescent="0.25">
      <c r="A11">
        <v>20140808</v>
      </c>
      <c r="B11" t="s">
        <v>306</v>
      </c>
      <c r="C11">
        <v>17.5</v>
      </c>
    </row>
    <row r="12" spans="1:6" x14ac:dyDescent="0.25">
      <c r="B12" t="s">
        <v>307</v>
      </c>
      <c r="C12">
        <v>9</v>
      </c>
    </row>
    <row r="13" spans="1:6" x14ac:dyDescent="0.25">
      <c r="B13" t="s">
        <v>308</v>
      </c>
      <c r="C13">
        <v>2</v>
      </c>
    </row>
    <row r="14" spans="1:6" x14ac:dyDescent="0.25">
      <c r="B14" t="s">
        <v>309</v>
      </c>
      <c r="C14">
        <v>3.5</v>
      </c>
    </row>
    <row r="15" spans="1:6" x14ac:dyDescent="0.25">
      <c r="C15" s="3">
        <f>SUM(C11:C14)</f>
        <v>32</v>
      </c>
    </row>
    <row r="16" spans="1:6" x14ac:dyDescent="0.25">
      <c r="B16" t="s">
        <v>310</v>
      </c>
      <c r="C16">
        <v>12</v>
      </c>
    </row>
    <row r="17" spans="2:3" x14ac:dyDescent="0.25">
      <c r="B17" t="s">
        <v>311</v>
      </c>
      <c r="C17" s="3">
        <v>6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B22" sqref="B22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100+8+6+100+100+115</f>
        <v>429</v>
      </c>
      <c r="E3" s="4" t="s">
        <v>23</v>
      </c>
      <c r="F3" s="4">
        <v>15023</v>
      </c>
      <c r="G3" s="4" t="s">
        <v>28</v>
      </c>
      <c r="H3" s="4"/>
      <c r="I3" s="4"/>
      <c r="J3" s="4" t="e">
        <f>#REF!+B13</f>
        <v>#REF!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271.7</v>
      </c>
      <c r="C4" s="16" t="s">
        <v>23</v>
      </c>
      <c r="D4" s="16">
        <f>B4</f>
        <v>271.7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0</v>
      </c>
      <c r="C5" s="16"/>
      <c r="D5" s="16">
        <v>0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</f>
        <v>20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104.18*2.88</f>
        <v>300.03840000000002</v>
      </c>
      <c r="C14" s="16"/>
      <c r="D14" s="16">
        <f>B14</f>
        <v>300.03840000000002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10" customFormat="1" x14ac:dyDescent="0.25">
      <c r="A16" s="13" t="s">
        <v>54</v>
      </c>
      <c r="B16" s="13">
        <v>300</v>
      </c>
      <c r="C16" s="13"/>
      <c r="D16" s="13">
        <f>280</f>
        <v>280</v>
      </c>
      <c r="E16" s="4"/>
      <c r="F16" s="4"/>
      <c r="G16" s="4"/>
      <c r="H16" s="4"/>
      <c r="I16" s="4"/>
      <c r="J16" s="7"/>
      <c r="K16" s="4"/>
      <c r="L16" s="4"/>
      <c r="M16" s="4"/>
      <c r="N16" s="4"/>
      <c r="O16" s="4"/>
      <c r="P16" s="4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29</v>
      </c>
      <c r="J18" s="7"/>
    </row>
    <row r="19" spans="1:16" s="4" customFormat="1" x14ac:dyDescent="0.25">
      <c r="A19" s="4" t="s">
        <v>31</v>
      </c>
      <c r="B19" s="4">
        <f>SUM(D3:D16)</f>
        <v>2337.025279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41</v>
      </c>
      <c r="C20" s="4">
        <f>B20+2076.83</f>
        <v>2117.83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2378.025279</v>
      </c>
      <c r="C22" s="14">
        <f>B22-E21</f>
        <v>1472.4983999999999</v>
      </c>
      <c r="D22" s="14"/>
      <c r="E22" s="4"/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B22/2.74</f>
        <v>867.89243759124076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/>
      <c r="C24" s="4">
        <f>21+23.44+549.24</f>
        <v>593.68000000000006</v>
      </c>
      <c r="D24" s="4"/>
      <c r="E24" s="7" t="s">
        <v>21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1502.76-B23</f>
        <v>634.86756240875923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  <pageSetup orientation="portrait" horizontalDpi="200" verticalDpi="200"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0"/>
  <sheetViews>
    <sheetView workbookViewId="0">
      <selection activeCell="C1" sqref="C1"/>
    </sheetView>
  </sheetViews>
  <sheetFormatPr baseColWidth="10" defaultRowHeight="15" x14ac:dyDescent="0.25"/>
  <cols>
    <col min="2" max="2" width="27.140625" bestFit="1" customWidth="1"/>
  </cols>
  <sheetData>
    <row r="1" spans="1:4" x14ac:dyDescent="0.25">
      <c r="B1" t="s">
        <v>289</v>
      </c>
    </row>
    <row r="2" spans="1:4" x14ac:dyDescent="0.25">
      <c r="A2">
        <v>20140824</v>
      </c>
      <c r="B2" t="s">
        <v>325</v>
      </c>
      <c r="C2">
        <v>299</v>
      </c>
    </row>
    <row r="3" spans="1:4" x14ac:dyDescent="0.25">
      <c r="A3">
        <v>20140914</v>
      </c>
      <c r="B3" t="s">
        <v>300</v>
      </c>
      <c r="C3">
        <v>86.5</v>
      </c>
    </row>
    <row r="4" spans="1:4" x14ac:dyDescent="0.25">
      <c r="A4">
        <v>20140913</v>
      </c>
      <c r="B4" t="s">
        <v>363</v>
      </c>
      <c r="C4">
        <v>4.92</v>
      </c>
    </row>
    <row r="5" spans="1:4" x14ac:dyDescent="0.25">
      <c r="A5">
        <v>20140913</v>
      </c>
      <c r="B5" t="s">
        <v>364</v>
      </c>
      <c r="C5">
        <v>28.25</v>
      </c>
      <c r="D5">
        <f>C5*3</f>
        <v>84.75</v>
      </c>
    </row>
    <row r="6" spans="1:4" x14ac:dyDescent="0.25">
      <c r="A6">
        <v>20140913</v>
      </c>
      <c r="B6" t="s">
        <v>365</v>
      </c>
      <c r="C6">
        <v>44.66</v>
      </c>
      <c r="D6">
        <f>6*C6</f>
        <v>267.95999999999998</v>
      </c>
    </row>
    <row r="7" spans="1:4" x14ac:dyDescent="0.25">
      <c r="A7">
        <v>20140913</v>
      </c>
      <c r="B7" t="s">
        <v>366</v>
      </c>
      <c r="C7">
        <v>14.9</v>
      </c>
    </row>
    <row r="8" spans="1:4" x14ac:dyDescent="0.25">
      <c r="A8">
        <v>20140914</v>
      </c>
      <c r="B8" t="s">
        <v>299</v>
      </c>
      <c r="C8">
        <v>6.3</v>
      </c>
    </row>
    <row r="9" spans="1:4" x14ac:dyDescent="0.25">
      <c r="A9">
        <v>20140917</v>
      </c>
      <c r="B9" t="s">
        <v>367</v>
      </c>
      <c r="C9">
        <v>32.130000000000003</v>
      </c>
    </row>
    <row r="10" spans="1:4" x14ac:dyDescent="0.25">
      <c r="A10">
        <v>20140920</v>
      </c>
      <c r="B10" t="s">
        <v>84</v>
      </c>
      <c r="C10">
        <v>40</v>
      </c>
    </row>
    <row r="11" spans="1:4" x14ac:dyDescent="0.25">
      <c r="A11">
        <v>20140920</v>
      </c>
      <c r="B11" t="s">
        <v>299</v>
      </c>
      <c r="C11">
        <v>12.5</v>
      </c>
    </row>
    <row r="12" spans="1:4" x14ac:dyDescent="0.25">
      <c r="A12">
        <v>20140921</v>
      </c>
      <c r="B12" t="s">
        <v>299</v>
      </c>
      <c r="C12">
        <v>7</v>
      </c>
    </row>
    <row r="16" spans="1:4" x14ac:dyDescent="0.25">
      <c r="C16">
        <f>SUM(C2:C14)</f>
        <v>576.16000000000008</v>
      </c>
    </row>
    <row r="17" spans="1:3" x14ac:dyDescent="0.25">
      <c r="A17">
        <v>20140923</v>
      </c>
      <c r="B17" t="s">
        <v>368</v>
      </c>
      <c r="C17">
        <v>-167.5</v>
      </c>
    </row>
    <row r="18" spans="1:3" x14ac:dyDescent="0.25">
      <c r="B18" s="3" t="s">
        <v>369</v>
      </c>
      <c r="C18" s="3">
        <f>C16+C17</f>
        <v>408.66000000000008</v>
      </c>
    </row>
    <row r="19" spans="1:3" x14ac:dyDescent="0.25">
      <c r="A19">
        <v>20140923</v>
      </c>
      <c r="B19" t="s">
        <v>368</v>
      </c>
      <c r="C19" s="108">
        <f>-C18</f>
        <v>-408.66000000000008</v>
      </c>
    </row>
    <row r="20" spans="1:3" x14ac:dyDescent="0.25">
      <c r="A20">
        <v>20140924</v>
      </c>
      <c r="B20" s="3" t="s">
        <v>369</v>
      </c>
      <c r="C20" s="3">
        <f>C18+C19</f>
        <v>0</v>
      </c>
    </row>
  </sheetData>
  <pageMargins left="0.7" right="0.7" top="0.75" bottom="0.75" header="0.3" footer="0.3"/>
  <pageSetup paperSize="9" orientation="portrait"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3"/>
  <sheetViews>
    <sheetView workbookViewId="0">
      <selection activeCell="G3" sqref="G3"/>
    </sheetView>
  </sheetViews>
  <sheetFormatPr baseColWidth="10" defaultRowHeight="15" x14ac:dyDescent="0.25"/>
  <cols>
    <col min="1" max="1" width="19" bestFit="1" customWidth="1"/>
    <col min="4" max="4" width="19" bestFit="1" customWidth="1"/>
  </cols>
  <sheetData>
    <row r="1" spans="1:5" x14ac:dyDescent="0.25">
      <c r="A1" s="67"/>
      <c r="B1" s="67"/>
      <c r="C1" s="67"/>
      <c r="D1" s="67"/>
      <c r="E1" s="66"/>
    </row>
    <row r="2" spans="1:5" x14ac:dyDescent="0.25">
      <c r="A2" s="66" t="s">
        <v>241</v>
      </c>
      <c r="B2" s="67"/>
      <c r="C2" s="67"/>
      <c r="D2" s="66" t="s">
        <v>242</v>
      </c>
      <c r="E2" s="66"/>
    </row>
    <row r="3" spans="1:5" x14ac:dyDescent="0.25">
      <c r="A3" s="68" t="s">
        <v>236</v>
      </c>
      <c r="B3" s="67">
        <v>93.2</v>
      </c>
      <c r="C3" s="67"/>
      <c r="D3" s="67" t="s">
        <v>252</v>
      </c>
      <c r="E3" s="67">
        <v>1037</v>
      </c>
    </row>
    <row r="4" spans="1:5" x14ac:dyDescent="0.25">
      <c r="A4" s="68" t="s">
        <v>237</v>
      </c>
      <c r="B4" s="67">
        <v>62.84</v>
      </c>
      <c r="C4" s="67"/>
      <c r="D4" s="67" t="s">
        <v>253</v>
      </c>
      <c r="E4" s="67">
        <v>-400</v>
      </c>
    </row>
    <row r="5" spans="1:5" x14ac:dyDescent="0.25">
      <c r="A5" s="67" t="s">
        <v>260</v>
      </c>
      <c r="B5" s="67">
        <v>73.290000000000006</v>
      </c>
      <c r="C5" s="67"/>
      <c r="D5" s="67" t="s">
        <v>254</v>
      </c>
      <c r="E5" s="67">
        <v>78.400000000000006</v>
      </c>
    </row>
    <row r="6" spans="1:5" x14ac:dyDescent="0.25">
      <c r="A6" s="68" t="s">
        <v>239</v>
      </c>
      <c r="B6" s="67">
        <v>124.83</v>
      </c>
      <c r="C6" s="67"/>
      <c r="D6" s="68" t="s">
        <v>240</v>
      </c>
      <c r="E6" s="67">
        <v>150</v>
      </c>
    </row>
    <row r="7" spans="1:5" x14ac:dyDescent="0.25">
      <c r="A7" s="68" t="s">
        <v>240</v>
      </c>
      <c r="B7" s="67">
        <v>150</v>
      </c>
      <c r="C7" s="67"/>
      <c r="D7" s="68" t="s">
        <v>251</v>
      </c>
      <c r="E7" s="67">
        <v>25</v>
      </c>
    </row>
    <row r="8" spans="1:5" x14ac:dyDescent="0.25">
      <c r="A8" s="68" t="s">
        <v>251</v>
      </c>
      <c r="B8" s="67">
        <v>25</v>
      </c>
      <c r="C8" s="67"/>
      <c r="D8" s="67" t="s">
        <v>257</v>
      </c>
      <c r="E8" s="67">
        <f>64.9/3</f>
        <v>21.633333333333336</v>
      </c>
    </row>
    <row r="9" spans="1:5" x14ac:dyDescent="0.25">
      <c r="A9" s="67" t="s">
        <v>257</v>
      </c>
      <c r="B9" s="67">
        <f>64.9/3</f>
        <v>21.633333333333336</v>
      </c>
      <c r="C9" s="67"/>
      <c r="D9" s="67" t="s">
        <v>258</v>
      </c>
      <c r="E9" s="67">
        <v>100</v>
      </c>
    </row>
    <row r="10" spans="1:5" x14ac:dyDescent="0.25">
      <c r="A10" s="67" t="s">
        <v>259</v>
      </c>
      <c r="B10" s="67">
        <f>181.7/3</f>
        <v>60.566666666666663</v>
      </c>
      <c r="C10" s="67"/>
      <c r="D10" s="67" t="s">
        <v>259</v>
      </c>
      <c r="E10" s="67">
        <f>181.7/3</f>
        <v>60.566666666666663</v>
      </c>
    </row>
    <row r="11" spans="1:5" x14ac:dyDescent="0.25">
      <c r="A11" s="67"/>
      <c r="B11" s="67"/>
      <c r="C11" s="67"/>
      <c r="D11" s="67"/>
      <c r="E11" s="67"/>
    </row>
    <row r="12" spans="1:5" x14ac:dyDescent="0.25">
      <c r="A12" s="67"/>
      <c r="B12" s="67"/>
      <c r="C12" s="67"/>
      <c r="D12" s="67"/>
      <c r="E12" s="67"/>
    </row>
    <row r="13" spans="1:5" x14ac:dyDescent="0.25">
      <c r="A13" s="67" t="s">
        <v>233</v>
      </c>
      <c r="B13" s="98">
        <f>SUM(B3:B12)</f>
        <v>611.36000000000013</v>
      </c>
      <c r="C13" s="67"/>
      <c r="D13" s="67" t="s">
        <v>246</v>
      </c>
      <c r="E13" s="98">
        <f>SUM(E3:E12)</f>
        <v>1072.5999999999999</v>
      </c>
    </row>
  </sheetData>
  <pageMargins left="0.7" right="0.7" top="0.75" bottom="0.75" header="0.3" footer="0.3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11"/>
  <sheetViews>
    <sheetView workbookViewId="0">
      <selection activeCell="D11" sqref="D11"/>
    </sheetView>
  </sheetViews>
  <sheetFormatPr baseColWidth="10" defaultRowHeight="15" x14ac:dyDescent="0.25"/>
  <cols>
    <col min="3" max="3" width="20.42578125" bestFit="1" customWidth="1"/>
    <col min="7" max="7" width="12.7109375" bestFit="1" customWidth="1"/>
  </cols>
  <sheetData>
    <row r="2" spans="2:8" x14ac:dyDescent="0.25">
      <c r="B2">
        <v>4300</v>
      </c>
      <c r="C2" t="s">
        <v>227</v>
      </c>
      <c r="D2">
        <v>10</v>
      </c>
      <c r="G2" s="3" t="s">
        <v>234</v>
      </c>
      <c r="H2" s="3">
        <v>-5</v>
      </c>
    </row>
    <row r="3" spans="2:8" x14ac:dyDescent="0.25">
      <c r="C3" t="s">
        <v>226</v>
      </c>
      <c r="D3">
        <v>10</v>
      </c>
      <c r="G3" s="3" t="s">
        <v>235</v>
      </c>
      <c r="H3" s="3">
        <f>867-300</f>
        <v>567</v>
      </c>
    </row>
    <row r="4" spans="2:8" x14ac:dyDescent="0.25">
      <c r="C4" t="s">
        <v>228</v>
      </c>
      <c r="D4">
        <v>20</v>
      </c>
    </row>
    <row r="5" spans="2:8" x14ac:dyDescent="0.25">
      <c r="C5" t="s">
        <v>229</v>
      </c>
      <c r="D5">
        <v>803</v>
      </c>
    </row>
    <row r="6" spans="2:8" x14ac:dyDescent="0.25">
      <c r="C6" t="s">
        <v>230</v>
      </c>
      <c r="D6">
        <v>6</v>
      </c>
    </row>
    <row r="7" spans="2:8" x14ac:dyDescent="0.25">
      <c r="C7" t="s">
        <v>231</v>
      </c>
      <c r="D7">
        <v>300</v>
      </c>
    </row>
    <row r="8" spans="2:8" x14ac:dyDescent="0.25">
      <c r="C8" t="s">
        <v>210</v>
      </c>
      <c r="D8">
        <v>200</v>
      </c>
    </row>
    <row r="9" spans="2:8" x14ac:dyDescent="0.25">
      <c r="C9" t="s">
        <v>232</v>
      </c>
      <c r="D9">
        <v>2900</v>
      </c>
    </row>
    <row r="11" spans="2:8" x14ac:dyDescent="0.25">
      <c r="C11" t="s">
        <v>233</v>
      </c>
      <c r="D11">
        <f>SUM(D2:D10)</f>
        <v>4249</v>
      </c>
    </row>
  </sheetData>
  <pageMargins left="0.7" right="0.7" top="0.75" bottom="0.75" header="0.3" footer="0.3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20"/>
  <sheetViews>
    <sheetView workbookViewId="0">
      <selection activeCell="I6" sqref="I6"/>
    </sheetView>
  </sheetViews>
  <sheetFormatPr baseColWidth="10" defaultRowHeight="15" x14ac:dyDescent="0.25"/>
  <sheetData>
    <row r="1" spans="2:14" x14ac:dyDescent="0.25">
      <c r="I1">
        <v>45</v>
      </c>
    </row>
    <row r="2" spans="2:14" x14ac:dyDescent="0.25">
      <c r="H2" t="s">
        <v>222</v>
      </c>
      <c r="I2">
        <v>60</v>
      </c>
    </row>
    <row r="3" spans="2:14" x14ac:dyDescent="0.25">
      <c r="I3">
        <v>200</v>
      </c>
    </row>
    <row r="4" spans="2:14" x14ac:dyDescent="0.25">
      <c r="B4">
        <v>894</v>
      </c>
      <c r="C4">
        <v>6289</v>
      </c>
      <c r="I4">
        <v>150</v>
      </c>
    </row>
    <row r="5" spans="2:14" x14ac:dyDescent="0.25">
      <c r="B5">
        <v>1300</v>
      </c>
      <c r="C5">
        <v>-1300</v>
      </c>
      <c r="I5">
        <v>300</v>
      </c>
    </row>
    <row r="6" spans="2:14" x14ac:dyDescent="0.25">
      <c r="B6">
        <f>SUM(B4:B5)</f>
        <v>2194</v>
      </c>
      <c r="C6">
        <f>SUM(C4:C5)</f>
        <v>4989</v>
      </c>
      <c r="I6" s="3">
        <f>SUM(I1:I5)</f>
        <v>755</v>
      </c>
    </row>
    <row r="8" spans="2:14" x14ac:dyDescent="0.25">
      <c r="B8">
        <v>38.5</v>
      </c>
      <c r="C8">
        <v>53.3</v>
      </c>
    </row>
    <row r="9" spans="2:14" x14ac:dyDescent="0.25">
      <c r="B9">
        <v>72.599999999999994</v>
      </c>
      <c r="C9">
        <v>53.3</v>
      </c>
    </row>
    <row r="10" spans="2:14" x14ac:dyDescent="0.25">
      <c r="B10">
        <f>SUM(B8:B9)</f>
        <v>111.1</v>
      </c>
      <c r="C10">
        <f>SUM(C8:C9)</f>
        <v>106.6</v>
      </c>
    </row>
    <row r="11" spans="2:14" ht="71.25" x14ac:dyDescent="0.25">
      <c r="F11">
        <v>300</v>
      </c>
      <c r="J11" s="46" t="s">
        <v>187</v>
      </c>
      <c r="K11" s="47">
        <v>300</v>
      </c>
      <c r="M11" s="46" t="s">
        <v>187</v>
      </c>
      <c r="N11" s="47">
        <v>300</v>
      </c>
    </row>
    <row r="12" spans="2:14" ht="28.5" x14ac:dyDescent="0.25">
      <c r="F12">
        <v>150</v>
      </c>
      <c r="J12" s="46" t="s">
        <v>188</v>
      </c>
      <c r="K12" s="47">
        <f>32*3</f>
        <v>96</v>
      </c>
      <c r="L12">
        <f>32*4</f>
        <v>128</v>
      </c>
      <c r="M12" s="46" t="s">
        <v>188</v>
      </c>
      <c r="N12" s="47">
        <f>32*3</f>
        <v>96</v>
      </c>
    </row>
    <row r="13" spans="2:14" ht="28.5" x14ac:dyDescent="0.25">
      <c r="F13">
        <v>32</v>
      </c>
      <c r="J13" s="46" t="s">
        <v>189</v>
      </c>
      <c r="K13" s="47">
        <v>300</v>
      </c>
      <c r="M13" s="46" t="s">
        <v>189</v>
      </c>
      <c r="N13" s="47">
        <v>500</v>
      </c>
    </row>
    <row r="14" spans="2:14" ht="28.5" x14ac:dyDescent="0.25">
      <c r="F14">
        <v>300</v>
      </c>
      <c r="J14" s="46" t="s">
        <v>190</v>
      </c>
      <c r="K14" s="47">
        <v>240</v>
      </c>
      <c r="M14" s="46" t="s">
        <v>190</v>
      </c>
      <c r="N14" s="47">
        <v>240</v>
      </c>
    </row>
    <row r="15" spans="2:14" x14ac:dyDescent="0.25">
      <c r="B15" t="s">
        <v>178</v>
      </c>
      <c r="C15">
        <v>32</v>
      </c>
      <c r="F15">
        <f>SUM(F11:F14)</f>
        <v>782</v>
      </c>
      <c r="G15" s="3">
        <f>F15/3</f>
        <v>260.66666666666669</v>
      </c>
    </row>
    <row r="16" spans="2:14" x14ac:dyDescent="0.25">
      <c r="B16" t="s">
        <v>174</v>
      </c>
      <c r="C16">
        <f>359/2</f>
        <v>179.5</v>
      </c>
      <c r="K16">
        <f>SUM(K11:K15)/3</f>
        <v>312</v>
      </c>
      <c r="N16">
        <f>SUM(N11:N15)/3</f>
        <v>378.66666666666669</v>
      </c>
    </row>
    <row r="17" spans="2:14" x14ac:dyDescent="0.25">
      <c r="B17" t="s">
        <v>175</v>
      </c>
      <c r="C17">
        <v>41.65</v>
      </c>
    </row>
    <row r="18" spans="2:14" x14ac:dyDescent="0.25">
      <c r="B18" t="s">
        <v>176</v>
      </c>
      <c r="C18">
        <v>53.3</v>
      </c>
      <c r="N18">
        <f>SUM(K16:N16)</f>
        <v>690.66666666666674</v>
      </c>
    </row>
    <row r="19" spans="2:14" x14ac:dyDescent="0.25">
      <c r="B19" t="s">
        <v>177</v>
      </c>
      <c r="C19">
        <v>-50</v>
      </c>
    </row>
    <row r="20" spans="2:14" x14ac:dyDescent="0.25">
      <c r="C20">
        <f>SUM(C15:C19)</f>
        <v>256.45</v>
      </c>
    </row>
  </sheetData>
  <pageMargins left="0.7" right="0.7" top="0.75" bottom="0.75" header="0.3" footer="0.3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16"/>
  <sheetViews>
    <sheetView workbookViewId="0">
      <selection activeCell="I16" sqref="I16"/>
    </sheetView>
  </sheetViews>
  <sheetFormatPr baseColWidth="10" defaultRowHeight="15" x14ac:dyDescent="0.25"/>
  <sheetData>
    <row r="2" spans="2:9" x14ac:dyDescent="0.25">
      <c r="B2">
        <v>3244.86</v>
      </c>
      <c r="D2">
        <v>3250</v>
      </c>
    </row>
    <row r="3" spans="2:9" x14ac:dyDescent="0.25">
      <c r="B3">
        <v>1360</v>
      </c>
      <c r="D3">
        <v>1399</v>
      </c>
    </row>
    <row r="4" spans="2:9" x14ac:dyDescent="0.25">
      <c r="B4">
        <v>90.28</v>
      </c>
      <c r="D4">
        <f>SUM(D2:D3)</f>
        <v>4649</v>
      </c>
    </row>
    <row r="5" spans="2:9" x14ac:dyDescent="0.25">
      <c r="B5">
        <f>-SUM(B2:B4)</f>
        <v>-4695.1400000000003</v>
      </c>
    </row>
    <row r="6" spans="2:9" x14ac:dyDescent="0.25">
      <c r="B6">
        <v>4906.33</v>
      </c>
    </row>
    <row r="7" spans="2:9" x14ac:dyDescent="0.25">
      <c r="B7">
        <f>SUM(B5:B6)</f>
        <v>211.1899999999996</v>
      </c>
      <c r="C7">
        <v>-350</v>
      </c>
      <c r="D7">
        <f>SUM(B7:C7)</f>
        <v>-138.8100000000004</v>
      </c>
    </row>
    <row r="9" spans="2:9" x14ac:dyDescent="0.25">
      <c r="C9">
        <f>991.7*6</f>
        <v>5950.2000000000007</v>
      </c>
    </row>
    <row r="12" spans="2:9" x14ac:dyDescent="0.25">
      <c r="H12">
        <v>33</v>
      </c>
      <c r="I12">
        <v>1518</v>
      </c>
    </row>
    <row r="13" spans="2:9" x14ac:dyDescent="0.25">
      <c r="B13">
        <v>3500</v>
      </c>
      <c r="C13">
        <v>4000</v>
      </c>
      <c r="E13">
        <f>36*89</f>
        <v>3204</v>
      </c>
      <c r="H13">
        <v>89</v>
      </c>
      <c r="I13">
        <v>2360</v>
      </c>
    </row>
    <row r="14" spans="2:9" x14ac:dyDescent="0.25">
      <c r="B14">
        <v>1485</v>
      </c>
      <c r="C14">
        <v>1000</v>
      </c>
      <c r="E14">
        <f>36*45</f>
        <v>1620</v>
      </c>
      <c r="F14">
        <f>E13-E14</f>
        <v>1584</v>
      </c>
      <c r="G14">
        <f>46*33</f>
        <v>1518</v>
      </c>
      <c r="H14">
        <v>89</v>
      </c>
      <c r="I14">
        <f>I12*H14/H12</f>
        <v>4094</v>
      </c>
    </row>
    <row r="15" spans="2:9" x14ac:dyDescent="0.25">
      <c r="B15">
        <f>SUM(B13:B14)</f>
        <v>4985</v>
      </c>
    </row>
    <row r="16" spans="2:9" x14ac:dyDescent="0.25">
      <c r="H16">
        <v>33</v>
      </c>
      <c r="I16">
        <f>H16*I13/H13</f>
        <v>875.05617977528095</v>
      </c>
    </row>
  </sheetData>
  <pageMargins left="0.7" right="0.7" top="0.75" bottom="0.75" header="0.3" footer="0.3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21"/>
  <sheetViews>
    <sheetView workbookViewId="0">
      <selection activeCell="G9" sqref="G9"/>
    </sheetView>
  </sheetViews>
  <sheetFormatPr baseColWidth="10" defaultRowHeight="15" x14ac:dyDescent="0.25"/>
  <cols>
    <col min="1" max="1" width="27.85546875" customWidth="1"/>
    <col min="2" max="2" width="18.140625" customWidth="1"/>
  </cols>
  <sheetData>
    <row r="4" spans="1:7" x14ac:dyDescent="0.25">
      <c r="C4">
        <v>3107.75</v>
      </c>
    </row>
    <row r="5" spans="1:7" x14ac:dyDescent="0.25">
      <c r="C5">
        <v>1399</v>
      </c>
      <c r="G5">
        <v>300</v>
      </c>
    </row>
    <row r="6" spans="1:7" x14ac:dyDescent="0.25">
      <c r="C6" s="3">
        <f>SUM(C4:C5)</f>
        <v>4506.75</v>
      </c>
      <c r="D6" s="37">
        <v>3506</v>
      </c>
      <c r="G6">
        <v>96</v>
      </c>
    </row>
    <row r="7" spans="1:7" x14ac:dyDescent="0.25">
      <c r="G7">
        <v>300</v>
      </c>
    </row>
    <row r="8" spans="1:7" x14ac:dyDescent="0.25">
      <c r="A8" t="s">
        <v>180</v>
      </c>
      <c r="G8">
        <v>240</v>
      </c>
    </row>
    <row r="9" spans="1:7" x14ac:dyDescent="0.25">
      <c r="A9" s="3" t="s">
        <v>181</v>
      </c>
      <c r="B9">
        <v>1000</v>
      </c>
      <c r="G9" s="2">
        <f>SUM(G5:G8)/3</f>
        <v>312</v>
      </c>
    </row>
    <row r="10" spans="1:7" x14ac:dyDescent="0.25">
      <c r="A10" t="s">
        <v>182</v>
      </c>
      <c r="B10">
        <v>2000</v>
      </c>
    </row>
    <row r="11" spans="1:7" x14ac:dyDescent="0.25">
      <c r="A11" t="s">
        <v>183</v>
      </c>
      <c r="B11">
        <f>500+600</f>
        <v>1100</v>
      </c>
    </row>
    <row r="12" spans="1:7" x14ac:dyDescent="0.25">
      <c r="A12" t="s">
        <v>184</v>
      </c>
      <c r="B12">
        <v>200</v>
      </c>
      <c r="C12">
        <f>SUM(B10:B12)</f>
        <v>3300</v>
      </c>
    </row>
    <row r="13" spans="1:7" x14ac:dyDescent="0.25">
      <c r="B13" s="3">
        <f>SUM(B9:B12)</f>
        <v>4300</v>
      </c>
    </row>
    <row r="19" spans="2:2" x14ac:dyDescent="0.25">
      <c r="B19">
        <f>500/2.7</f>
        <v>185.18518518518516</v>
      </c>
    </row>
    <row r="20" spans="2:2" x14ac:dyDescent="0.25">
      <c r="B20">
        <v>700</v>
      </c>
    </row>
    <row r="21" spans="2:2" x14ac:dyDescent="0.25">
      <c r="B21">
        <f>SUM(B19:B20)</f>
        <v>885.18518518518522</v>
      </c>
    </row>
  </sheetData>
  <pageMargins left="0.7" right="0.7" top="0.75" bottom="0.75" header="0.3" footer="0.3"/>
  <pageSetup paperSize="9" orientation="portrait" r:id="rId1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C17" sqref="C17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58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f>340</f>
        <v>340</v>
      </c>
      <c r="C3" s="16" t="s">
        <v>23</v>
      </c>
      <c r="D3" s="16">
        <f>187+143+10</f>
        <v>340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330</v>
      </c>
      <c r="C4" s="16" t="s">
        <v>23</v>
      </c>
      <c r="D4" s="16">
        <f>B4</f>
        <v>330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365+69.38*B24</f>
        <v>555.10120000000006</v>
      </c>
      <c r="C5" s="16"/>
      <c r="D5" s="16">
        <f>B5</f>
        <v>555.10120000000006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20+11</f>
        <v>31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/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280+120+20</f>
        <v>420</v>
      </c>
      <c r="J16" s="7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0</v>
      </c>
      <c r="J18" s="7"/>
    </row>
    <row r="19" spans="1:16" s="4" customFormat="1" x14ac:dyDescent="0.25">
      <c r="A19" s="4" t="s">
        <v>31</v>
      </c>
      <c r="B19" s="4">
        <f>SUM(D3:D16)</f>
        <v>2979.0472790000003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69</v>
      </c>
      <c r="C20" s="4">
        <f>B20+2076.83</f>
        <v>2145.83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3048.0472790000003</v>
      </c>
      <c r="C22" s="14">
        <f>B22-E21</f>
        <v>2142.5204000000003</v>
      </c>
      <c r="D22" s="14"/>
      <c r="E22" s="4">
        <f>SUM(B6:B9)</f>
        <v>580</v>
      </c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B22/B24</f>
        <v>1112.4260142335768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>
        <f>2.74</f>
        <v>2.74</v>
      </c>
      <c r="C24" s="4">
        <f>21+23.44+549.24</f>
        <v>593.68000000000006</v>
      </c>
      <c r="D24" s="4"/>
      <c r="E24" s="7" t="s">
        <v>59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1502.76+58-B23+(190/B24)</f>
        <v>517.67705145985383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8"/>
  <sheetViews>
    <sheetView topLeftCell="A16" workbookViewId="0">
      <selection activeCell="B32" sqref="B32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0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21+79+100+15+75+50+60</f>
        <v>400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308.85000000000002</v>
      </c>
      <c r="C4" s="16" t="s">
        <v>23</v>
      </c>
      <c r="D4" s="16">
        <f>B4</f>
        <v>308.85000000000002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47</v>
      </c>
      <c r="C5" s="16"/>
      <c r="D5" s="16">
        <f>B5</f>
        <v>47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20+20</f>
        <v>40</v>
      </c>
      <c r="E11" s="4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J30</f>
        <v>325.52687900000001</v>
      </c>
      <c r="C13" s="16"/>
      <c r="D13" s="16">
        <f>B13</f>
        <v>325.52687900000001</v>
      </c>
      <c r="E13" s="3" t="s">
        <v>23</v>
      </c>
      <c r="F13" s="3">
        <f>B14+280</f>
        <v>546.65920000000006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280+6+40+44.19</f>
        <v>370.19</v>
      </c>
      <c r="J16" s="7"/>
    </row>
    <row r="17" spans="1:16" s="3" customFormat="1" x14ac:dyDescent="0.25">
      <c r="A17" s="16" t="s">
        <v>60</v>
      </c>
      <c r="B17" s="16">
        <v>90.95</v>
      </c>
      <c r="C17" s="16"/>
      <c r="D17" s="16">
        <f>B17</f>
        <v>90.95</v>
      </c>
    </row>
    <row r="18" spans="1:16" s="3" customFormat="1" x14ac:dyDescent="0.25">
      <c r="A18" s="16" t="s">
        <v>61</v>
      </c>
      <c r="B18" s="16"/>
      <c r="C18" s="16"/>
      <c r="D18" s="16"/>
    </row>
    <row r="19" spans="1:16" s="3" customFormat="1" x14ac:dyDescent="0.25">
      <c r="A19" s="20" t="s">
        <v>62</v>
      </c>
      <c r="B19" s="16">
        <v>100</v>
      </c>
      <c r="C19" s="16"/>
      <c r="D19" s="16"/>
    </row>
    <row r="20" spans="1:16" s="3" customFormat="1" x14ac:dyDescent="0.25">
      <c r="A20" s="20" t="s">
        <v>63</v>
      </c>
      <c r="B20" s="16">
        <f>20*B34</f>
        <v>54.400000000000006</v>
      </c>
      <c r="C20" s="16"/>
      <c r="D20" s="16"/>
    </row>
    <row r="21" spans="1:16" s="3" customFormat="1" x14ac:dyDescent="0.25">
      <c r="A21" s="20" t="s">
        <v>64</v>
      </c>
      <c r="B21" s="16">
        <v>114.5</v>
      </c>
      <c r="C21" s="16"/>
      <c r="D21" s="16">
        <f>SUM(B19:B27)+B5</f>
        <v>926.1</v>
      </c>
      <c r="E21" s="3">
        <f>SUM(B20:B22)</f>
        <v>436.9</v>
      </c>
    </row>
    <row r="22" spans="1:16" s="3" customFormat="1" x14ac:dyDescent="0.25">
      <c r="A22" s="21" t="s">
        <v>65</v>
      </c>
      <c r="B22" s="16">
        <v>268</v>
      </c>
      <c r="C22" s="16"/>
      <c r="D22" s="16"/>
    </row>
    <row r="23" spans="1:16" s="3" customFormat="1" x14ac:dyDescent="0.25">
      <c r="A23" s="21" t="s">
        <v>66</v>
      </c>
      <c r="B23" s="16">
        <v>128</v>
      </c>
      <c r="C23" s="16"/>
      <c r="D23" s="16"/>
    </row>
    <row r="24" spans="1:16" s="3" customFormat="1" x14ac:dyDescent="0.25">
      <c r="A24" s="21" t="s">
        <v>67</v>
      </c>
      <c r="B24" s="16">
        <v>64.2</v>
      </c>
      <c r="C24" s="16"/>
      <c r="D24" s="16"/>
    </row>
    <row r="25" spans="1:16" s="3" customFormat="1" x14ac:dyDescent="0.25">
      <c r="A25" s="20" t="s">
        <v>68</v>
      </c>
      <c r="B25" s="16">
        <v>100</v>
      </c>
      <c r="C25" s="16"/>
      <c r="D25" s="16"/>
    </row>
    <row r="26" spans="1:16" s="3" customFormat="1" x14ac:dyDescent="0.25">
      <c r="A26" s="20" t="s">
        <v>70</v>
      </c>
      <c r="B26" s="16">
        <v>25</v>
      </c>
      <c r="C26" s="16"/>
      <c r="D26" s="16"/>
    </row>
    <row r="27" spans="1:16" s="3" customFormat="1" x14ac:dyDescent="0.25">
      <c r="A27" s="16" t="s">
        <v>69</v>
      </c>
      <c r="B27" s="16">
        <v>25</v>
      </c>
      <c r="C27" s="16"/>
      <c r="D27" s="16"/>
    </row>
    <row r="28" spans="1:16" s="4" customFormat="1" x14ac:dyDescent="0.25">
      <c r="B28" s="4">
        <f>SUM(B19:B27)</f>
        <v>879.1</v>
      </c>
      <c r="D28" s="13">
        <v>0</v>
      </c>
      <c r="G28" s="4">
        <v>57.16</v>
      </c>
      <c r="H28" s="4">
        <f>D3-B3</f>
        <v>0</v>
      </c>
      <c r="J28" s="7"/>
    </row>
    <row r="29" spans="1:16" s="4" customFormat="1" x14ac:dyDescent="0.25">
      <c r="A29" s="4" t="s">
        <v>31</v>
      </c>
      <c r="B29" s="4">
        <f>SUM(D3:D17)</f>
        <v>2569.9360789999996</v>
      </c>
      <c r="J29" s="7" t="s">
        <v>34</v>
      </c>
    </row>
    <row r="30" spans="1:16" s="4" customFormat="1" x14ac:dyDescent="0.25">
      <c r="A30" s="15" t="s">
        <v>24</v>
      </c>
      <c r="B30" s="15">
        <f>B32-B29</f>
        <v>99.809999999999945</v>
      </c>
      <c r="C30" s="4">
        <f>B30+2076.83</f>
        <v>2176.64</v>
      </c>
      <c r="H30" s="4">
        <v>15013</v>
      </c>
      <c r="I30" s="4">
        <f>B13/2.8</f>
        <v>116.25959964285715</v>
      </c>
      <c r="J30" s="7">
        <f>433.66*(H30)/(H30+H31)</f>
        <v>325.52687900000001</v>
      </c>
    </row>
    <row r="31" spans="1:16" s="4" customFormat="1" x14ac:dyDescent="0.25">
      <c r="D31" s="4">
        <f>B13</f>
        <v>325.52687900000001</v>
      </c>
      <c r="E31" s="18">
        <f>SUM(B6:B9)+D31</f>
        <v>905.52687900000001</v>
      </c>
      <c r="F31" s="4">
        <f>SUM(B6:B9)</f>
        <v>580</v>
      </c>
      <c r="H31" s="4">
        <v>4987</v>
      </c>
      <c r="J31" s="7"/>
    </row>
    <row r="32" spans="1:16" ht="15.75" x14ac:dyDescent="0.25">
      <c r="A32" s="4" t="s">
        <v>20</v>
      </c>
      <c r="B32" s="14">
        <f>SUM(B3:B17)</f>
        <v>2669.7460789999996</v>
      </c>
      <c r="C32" s="14">
        <f>B32-E31</f>
        <v>1764.2191999999995</v>
      </c>
      <c r="D32" s="14"/>
      <c r="E32" s="4">
        <f>SUM(B6:B9)</f>
        <v>580</v>
      </c>
      <c r="F32" s="4"/>
      <c r="G32" s="4"/>
      <c r="H32" s="4">
        <f>SUM(H30:H31)</f>
        <v>20000</v>
      </c>
      <c r="I32" s="4"/>
      <c r="J32" s="4"/>
      <c r="K32" s="4"/>
      <c r="L32" s="4"/>
      <c r="M32" s="4"/>
      <c r="N32" s="4"/>
      <c r="O32" s="4"/>
      <c r="P32" s="4"/>
    </row>
    <row r="33" spans="1:16" x14ac:dyDescent="0.25">
      <c r="A33" s="4"/>
      <c r="B33" s="4">
        <f>B32/B34</f>
        <v>981.52429374999974</v>
      </c>
      <c r="C33" s="4">
        <f>5*2.88</f>
        <v>14.399999999999999</v>
      </c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</row>
    <row r="34" spans="1:16" x14ac:dyDescent="0.25">
      <c r="A34" s="7"/>
      <c r="B34" s="4">
        <f>2.72</f>
        <v>2.72</v>
      </c>
      <c r="C34" s="4">
        <f>21+23.44+549.24</f>
        <v>593.68000000000006</v>
      </c>
      <c r="D34" s="4"/>
      <c r="E34" s="7" t="s">
        <v>59</v>
      </c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</row>
    <row r="35" spans="1:16" x14ac:dyDescent="0.25">
      <c r="A35" s="4"/>
      <c r="B35" s="4">
        <f>SUM(B3:B17)-B16</f>
        <v>2219.7460789999996</v>
      </c>
      <c r="C35" s="4"/>
      <c r="D35" s="4"/>
      <c r="E35" s="19">
        <f>1471.4+58-B33-B28/B34</f>
        <v>224.67717683823565</v>
      </c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</row>
    <row r="36" spans="1:16" x14ac:dyDescent="0.25">
      <c r="A36" s="3"/>
      <c r="B36">
        <f>B35/B34</f>
        <v>816.08311727941157</v>
      </c>
    </row>
    <row r="37" spans="1:16" x14ac:dyDescent="0.25">
      <c r="G37" s="2"/>
    </row>
    <row r="38" spans="1:16" x14ac:dyDescent="0.25">
      <c r="B38" s="8"/>
      <c r="C38" s="9"/>
    </row>
  </sheetData>
  <pageMargins left="0.7" right="0.7" top="0.75" bottom="0.75" header="0.3" footer="0.3"/>
  <pageSetup orientation="portrait" horizontalDpi="200" verticalDpi="200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activeCell="B25" sqref="B2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22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100+15+66+50+100+70</f>
        <v>401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105.57</v>
      </c>
      <c r="C5" s="16"/>
      <c r="D5" s="16">
        <f>B5</f>
        <v>105.57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25</f>
        <v>25</v>
      </c>
      <c r="E11" s="4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f>5</f>
        <v>5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279</f>
        <v>279</v>
      </c>
      <c r="F16" s="4">
        <f>D5+D16</f>
        <v>384.57</v>
      </c>
      <c r="G16" s="4">
        <f>D16+D14+D5</f>
        <v>651.22919999999999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71</v>
      </c>
      <c r="B18" s="16">
        <v>200</v>
      </c>
      <c r="C18" s="16"/>
      <c r="D18" s="16">
        <f>B18</f>
        <v>200</v>
      </c>
      <c r="F18" s="3">
        <f>F16+F17</f>
        <v>454.57</v>
      </c>
    </row>
    <row r="19" spans="1:16" s="4" customFormat="1" x14ac:dyDescent="0.25">
      <c r="A19" s="22" t="s">
        <v>73</v>
      </c>
      <c r="B19" s="13">
        <v>120</v>
      </c>
      <c r="C19" s="13"/>
      <c r="D19" s="13">
        <v>0</v>
      </c>
    </row>
    <row r="20" spans="1:16" s="4" customFormat="1" x14ac:dyDescent="0.25">
      <c r="A20" s="13" t="s">
        <v>72</v>
      </c>
      <c r="B20" s="13">
        <v>0</v>
      </c>
      <c r="C20" s="13"/>
      <c r="D20" s="13"/>
    </row>
    <row r="21" spans="1:16" s="4" customFormat="1" x14ac:dyDescent="0.25">
      <c r="B21" s="4">
        <f>SUM(B18:B20)</f>
        <v>320</v>
      </c>
      <c r="D21" s="13">
        <v>0</v>
      </c>
      <c r="G21" s="4">
        <v>57.16</v>
      </c>
      <c r="H21" s="4">
        <f>D3-B3</f>
        <v>1</v>
      </c>
      <c r="J21" s="7"/>
    </row>
    <row r="22" spans="1:16" s="4" customFormat="1" x14ac:dyDescent="0.25">
      <c r="A22" s="4" t="s">
        <v>31</v>
      </c>
      <c r="B22" s="4">
        <f>SUM(D3:D18)</f>
        <v>2641.766079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60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SUM(B6:B9)+D24</f>
        <v>905.52687900000001</v>
      </c>
      <c r="F24" s="4">
        <f>SUM(B6:B9)</f>
        <v>580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2501.766079</v>
      </c>
      <c r="C25" s="14">
        <f>B25+B21</f>
        <v>2821.766079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919.76694080882351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34.766078999999991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2201.766079</v>
      </c>
      <c r="C28" s="4"/>
      <c r="D28" s="4"/>
      <c r="E28" s="19">
        <f>1225-B26-B21/B27</f>
        <v>187.5860003676471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809.47282316176461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sqref="A1:XFD1048576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29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15+55+100+50+90</f>
        <v>310</v>
      </c>
      <c r="E3" s="4" t="s">
        <v>23</v>
      </c>
      <c r="J3" s="25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f>150*B27</f>
        <v>408.00000000000006</v>
      </c>
      <c r="C5" s="16"/>
      <c r="D5" s="16">
        <f>B5</f>
        <v>408.00000000000006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95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100+100+10+14</f>
        <v>224</v>
      </c>
      <c r="F16" s="4">
        <f>D5+D16</f>
        <v>632</v>
      </c>
      <c r="G16" s="4">
        <f>D16+D14+D5</f>
        <v>898.65920000000006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74</v>
      </c>
      <c r="B18" s="16">
        <v>350</v>
      </c>
      <c r="C18" s="16"/>
      <c r="D18" s="16">
        <f>B18</f>
        <v>350</v>
      </c>
      <c r="F18" s="3">
        <f>F16+F17</f>
        <v>702</v>
      </c>
    </row>
    <row r="19" spans="1:16" s="4" customFormat="1" x14ac:dyDescent="0.25">
      <c r="A19" s="22" t="s">
        <v>75</v>
      </c>
      <c r="B19" s="13">
        <f>118*B27</f>
        <v>320.96000000000004</v>
      </c>
      <c r="C19" s="13"/>
      <c r="D19" s="13">
        <f>B19</f>
        <v>320.96000000000004</v>
      </c>
    </row>
    <row r="20" spans="1:16" s="4" customFormat="1" x14ac:dyDescent="0.25">
      <c r="A20" s="13"/>
      <c r="B20" s="13">
        <v>0</v>
      </c>
      <c r="C20" s="13"/>
      <c r="D20" s="13">
        <v>0</v>
      </c>
    </row>
    <row r="21" spans="1:16" s="4" customFormat="1" x14ac:dyDescent="0.25">
      <c r="B21" s="4">
        <f>SUM(B18:B20)</f>
        <v>670.96</v>
      </c>
      <c r="D21" s="13">
        <v>0</v>
      </c>
      <c r="G21" s="4">
        <v>57.16</v>
      </c>
      <c r="H21" s="4">
        <f>D3-B3</f>
        <v>-90</v>
      </c>
      <c r="J21" s="7"/>
    </row>
    <row r="22" spans="1:16" s="4" customFormat="1" x14ac:dyDescent="0.25">
      <c r="A22" s="4" t="s">
        <v>31</v>
      </c>
      <c r="B22" s="4">
        <f>SUM(D3:D18)</f>
        <v>2953.1960790000003</v>
      </c>
      <c r="D22" s="13">
        <v>0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261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</f>
        <v>580</v>
      </c>
      <c r="F24" s="4">
        <f>B13+B5+B14</f>
        <v>1000.1860790000001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2864.1960790000003</v>
      </c>
      <c r="C25" s="14">
        <f>B25+B21</f>
        <v>3535.1560790000003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26">
        <f>2200/B27</f>
        <v>808.82352941176464</v>
      </c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1053.0132643382353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748.15607900000032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2564.1960790000003</v>
      </c>
      <c r="C28" s="4"/>
      <c r="D28" s="4"/>
      <c r="E28" s="19">
        <f>1472-B26-B21/B27</f>
        <v>172.31026507352939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942.71914669117655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>
      <selection activeCell="B25" sqref="B2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33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120+110+170</f>
        <v>400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 t="shared" ref="D4:D9" si="0"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263.87</v>
      </c>
      <c r="C5" s="16"/>
      <c r="D5" s="16">
        <f t="shared" si="0"/>
        <v>263.87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0</v>
      </c>
      <c r="C10" s="16" t="s">
        <v>23</v>
      </c>
      <c r="D10" s="16">
        <v>0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B12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4" customFormat="1" x14ac:dyDescent="0.25">
      <c r="A14" s="13" t="s">
        <v>27</v>
      </c>
      <c r="B14" s="13">
        <v>0</v>
      </c>
      <c r="C14" s="13"/>
      <c r="D14" s="13">
        <v>0</v>
      </c>
      <c r="E14" s="4" t="s">
        <v>23</v>
      </c>
      <c r="J14" s="7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3" customFormat="1" x14ac:dyDescent="0.25">
      <c r="A16" s="16" t="s">
        <v>76</v>
      </c>
      <c r="B16" s="16">
        <f>150</f>
        <v>150</v>
      </c>
      <c r="C16" s="16"/>
      <c r="D16" s="16">
        <f>70+80</f>
        <v>150</v>
      </c>
      <c r="J16" s="5"/>
    </row>
    <row r="17" spans="1:16" s="4" customFormat="1" x14ac:dyDescent="0.25">
      <c r="A17" s="13"/>
      <c r="B17" s="13"/>
      <c r="C17" s="13"/>
      <c r="D17" s="13"/>
      <c r="J17" s="7"/>
    </row>
    <row r="18" spans="1:16" s="4" customFormat="1" x14ac:dyDescent="0.25">
      <c r="A18" s="13" t="s">
        <v>54</v>
      </c>
      <c r="B18" s="13">
        <v>0</v>
      </c>
      <c r="C18" s="13"/>
      <c r="D18" s="13">
        <v>0</v>
      </c>
      <c r="F18" s="4">
        <f>D5+D18</f>
        <v>263.87</v>
      </c>
      <c r="G18" s="4">
        <f>D18+D14+D5</f>
        <v>263.87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3" customFormat="1" x14ac:dyDescent="0.25">
      <c r="A20" s="20" t="s">
        <v>74</v>
      </c>
      <c r="B20" s="16">
        <v>180</v>
      </c>
      <c r="C20" s="16"/>
      <c r="D20" s="16">
        <f>180</f>
        <v>180</v>
      </c>
      <c r="F20" s="3">
        <f>F18+F19</f>
        <v>333.87</v>
      </c>
    </row>
    <row r="21" spans="1:16" s="4" customFormat="1" x14ac:dyDescent="0.25">
      <c r="A21" s="22" t="s">
        <v>77</v>
      </c>
      <c r="B21" s="13">
        <f>350</f>
        <v>350</v>
      </c>
      <c r="C21" s="13"/>
      <c r="D21" s="13"/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850.96</v>
      </c>
      <c r="D24" s="13">
        <v>0</v>
      </c>
      <c r="G24" s="4">
        <v>57.16</v>
      </c>
      <c r="H24" s="4">
        <f>D3-B3</f>
        <v>0</v>
      </c>
      <c r="J24" s="7"/>
    </row>
    <row r="25" spans="1:16" s="4" customFormat="1" x14ac:dyDescent="0.25">
      <c r="A25" s="4" t="s">
        <v>31</v>
      </c>
      <c r="B25" s="4">
        <f>SUM(D3:D20)</f>
        <v>2257.6468789999999</v>
      </c>
      <c r="C25" s="4" t="s">
        <v>81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B28-B25+B20</f>
        <v>0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SUM(B5:B10,B13)</f>
        <v>1169.3968789999999</v>
      </c>
      <c r="D27" s="4">
        <f>B13</f>
        <v>325.52687900000001</v>
      </c>
      <c r="E27" s="18">
        <f>SUM(B6:B9)</f>
        <v>580</v>
      </c>
      <c r="F27" s="4">
        <f>B13+B5+B14</f>
        <v>589.39687900000001</v>
      </c>
      <c r="H27" s="4">
        <v>4987</v>
      </c>
      <c r="J27" s="7"/>
    </row>
    <row r="28" spans="1:16" ht="15.75" x14ac:dyDescent="0.25">
      <c r="A28" s="4" t="s">
        <v>20</v>
      </c>
      <c r="B28" s="14">
        <f>SUM(B3:B18)</f>
        <v>2077.6468789999999</v>
      </c>
      <c r="C28" s="14">
        <f>B28+B24-B4</f>
        <v>2605.3568789999999</v>
      </c>
      <c r="D28" s="14"/>
      <c r="E28" s="4">
        <f>SUM(B6:B9)</f>
        <v>580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B28/B30</f>
        <v>763.8407643382352</v>
      </c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2605.3568789999999</v>
      </c>
      <c r="D30" s="4"/>
      <c r="E30" s="7" t="s">
        <v>59</v>
      </c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2077.6468789999999</v>
      </c>
      <c r="C31" s="4"/>
      <c r="D31" s="4"/>
      <c r="E31" s="19">
        <f>1395-B29-B24/B30</f>
        <v>318.30629448529425</v>
      </c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763.8407643382352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/>
  </sheetViews>
  <sheetFormatPr baseColWidth="10" defaultColWidth="9.140625" defaultRowHeight="15" x14ac:dyDescent="0.25"/>
  <cols>
    <col min="1" max="1" width="19.85546875" customWidth="1"/>
    <col min="2" max="2" width="10.140625" bestFit="1" customWidth="1"/>
    <col min="3" max="3" width="35.5703125" bestFit="1" customWidth="1"/>
    <col min="4" max="4" width="14.42578125" customWidth="1"/>
    <col min="5" max="5" width="20.5703125" customWidth="1"/>
    <col min="6" max="6" width="14.7109375" bestFit="1" customWidth="1"/>
    <col min="10" max="10" width="12.140625" bestFit="1" customWidth="1"/>
  </cols>
  <sheetData>
    <row r="1" spans="1:16" ht="18.75" x14ac:dyDescent="0.3">
      <c r="A1" s="1" t="s">
        <v>37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100+200+55</f>
        <v>355</v>
      </c>
      <c r="E3" s="4" t="s">
        <v>23</v>
      </c>
      <c r="J3" s="25"/>
    </row>
    <row r="4" spans="1:16" s="3" customFormat="1" x14ac:dyDescent="0.25">
      <c r="A4" s="16" t="s">
        <v>7</v>
      </c>
      <c r="B4" s="16">
        <v>100.65</v>
      </c>
      <c r="C4" s="16" t="s">
        <v>23</v>
      </c>
      <c r="D4" s="16">
        <f>B4</f>
        <v>100.65</v>
      </c>
      <c r="E4" s="3" t="s">
        <v>23</v>
      </c>
      <c r="F4" s="5"/>
      <c r="G4" s="3">
        <f>B12+B15+B16+50-37.5</f>
        <v>242.5</v>
      </c>
      <c r="H4" s="3">
        <v>878</v>
      </c>
      <c r="I4" s="3">
        <f>H4-G4</f>
        <v>635.5</v>
      </c>
      <c r="J4" s="3">
        <f>I4/B30</f>
        <v>233.63970588235293</v>
      </c>
    </row>
    <row r="5" spans="1:16" s="3" customFormat="1" x14ac:dyDescent="0.25">
      <c r="A5" s="16" t="s">
        <v>9</v>
      </c>
      <c r="B5" s="16">
        <f>100*B30</f>
        <v>272</v>
      </c>
      <c r="C5" s="16"/>
      <c r="D5" s="16">
        <f t="shared" ref="D5:D10" si="0">B5</f>
        <v>272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f>130.76</f>
        <v>130.76</v>
      </c>
      <c r="C10" s="16" t="s">
        <v>23</v>
      </c>
      <c r="D10" s="16">
        <f t="shared" si="0"/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66.1*B30</f>
        <v>179.792</v>
      </c>
      <c r="C14" s="16"/>
      <c r="D14" s="16">
        <f>B14</f>
        <v>179.792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f>70</f>
        <v>70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76</v>
      </c>
      <c r="B16" s="13">
        <f>150</f>
        <v>150</v>
      </c>
      <c r="C16" s="13">
        <f>(B16/20)*5</f>
        <v>37.5</v>
      </c>
      <c r="D16" s="13">
        <f>37.5</f>
        <v>37.5</v>
      </c>
      <c r="J16" s="7"/>
    </row>
    <row r="17" spans="1:16" s="4" customFormat="1" x14ac:dyDescent="0.25">
      <c r="A17" s="13" t="s">
        <v>79</v>
      </c>
      <c r="B17" s="13">
        <v>0</v>
      </c>
      <c r="C17" s="13"/>
      <c r="D17" s="13">
        <v>0</v>
      </c>
      <c r="J17" s="7"/>
    </row>
    <row r="18" spans="1:16" s="4" customFormat="1" x14ac:dyDescent="0.25">
      <c r="A18" s="13" t="s">
        <v>54</v>
      </c>
      <c r="B18" s="13">
        <v>320</v>
      </c>
      <c r="C18" s="13"/>
      <c r="D18" s="13">
        <v>0</v>
      </c>
      <c r="F18" s="4">
        <f>D5+D18</f>
        <v>272</v>
      </c>
      <c r="G18" s="4">
        <f>D18+D14+D5</f>
        <v>451.79200000000003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4" customFormat="1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6" s="4" customFormat="1" x14ac:dyDescent="0.25">
      <c r="A21" s="22" t="s">
        <v>80</v>
      </c>
      <c r="B21" s="13">
        <f>99+34.9+228.9</f>
        <v>362.8</v>
      </c>
      <c r="C21" s="13"/>
      <c r="D21" s="13">
        <v>0</v>
      </c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1033.76</v>
      </c>
      <c r="D24" s="13">
        <v>0</v>
      </c>
      <c r="G24" s="4">
        <v>57.16</v>
      </c>
      <c r="H24" s="4">
        <f>D3-B3</f>
        <v>-45</v>
      </c>
      <c r="J24" s="7"/>
    </row>
    <row r="25" spans="1:16" s="4" customFormat="1" x14ac:dyDescent="0.25">
      <c r="A25" s="4" t="s">
        <v>31</v>
      </c>
      <c r="B25" s="4">
        <f>SUM(D3:D22)</f>
        <v>2327.1888790000003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</f>
        <v>920.30000000000018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SUM(B6:B9,B13)</f>
        <v>905.52687900000001</v>
      </c>
      <c r="D27" s="4">
        <f>B13</f>
        <v>325.52687900000001</v>
      </c>
      <c r="E27" s="18">
        <f>SUM(B6:B9)</f>
        <v>580</v>
      </c>
      <c r="F27" s="4">
        <f>B13+B5+B14</f>
        <v>777.31887900000004</v>
      </c>
      <c r="H27" s="4">
        <v>4987</v>
      </c>
      <c r="J27" s="7"/>
    </row>
    <row r="28" spans="1:16" ht="15.75" x14ac:dyDescent="0.25">
      <c r="A28" s="4" t="s">
        <v>20</v>
      </c>
      <c r="B28" s="14">
        <f>SUM(B3:B18)+B21+B22</f>
        <v>3247.4888790000005</v>
      </c>
      <c r="C28" s="14">
        <f>B28+B24-B4</f>
        <v>4180.598879000001</v>
      </c>
      <c r="D28" s="14"/>
      <c r="E28" s="4">
        <v>-450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</f>
        <v>3247.4888790000005</v>
      </c>
      <c r="C29" s="4"/>
      <c r="D29" s="4"/>
      <c r="E29" s="26">
        <f>SUM(E27:E28)</f>
        <v>130</v>
      </c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4180.598879000001</v>
      </c>
      <c r="D30" s="4"/>
      <c r="E30" s="7" t="s">
        <v>59</v>
      </c>
      <c r="F30" s="7" t="s">
        <v>78</v>
      </c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2243.7288790000002</v>
      </c>
      <c r="C31" s="4"/>
      <c r="D31" s="4"/>
      <c r="E31" s="19"/>
      <c r="F31" s="19">
        <f>3850-B28</f>
        <v>602.51112099999955</v>
      </c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824.90032316176473</v>
      </c>
      <c r="F32" s="19">
        <f>F31/B30</f>
        <v>221.51144154411747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  <pageSetup orientation="portrait" horizontalDpi="200" verticalDpi="20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4"/>
  <sheetViews>
    <sheetView zoomScale="86" zoomScaleNormal="86" workbookViewId="0">
      <selection sqref="A1:XFD1048576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39</v>
      </c>
      <c r="C1" s="4" t="s">
        <v>1</v>
      </c>
      <c r="D1" s="4" t="s">
        <v>2</v>
      </c>
      <c r="E1" s="7" t="s">
        <v>3</v>
      </c>
    </row>
    <row r="2" spans="1:10" x14ac:dyDescent="0.25">
      <c r="A2" s="13" t="s">
        <v>4</v>
      </c>
      <c r="B2" s="13">
        <f>400+130</f>
        <v>530</v>
      </c>
      <c r="C2" s="13"/>
      <c r="D2" s="13">
        <f>60+100+12</f>
        <v>172</v>
      </c>
      <c r="E2" s="4" t="s">
        <v>23</v>
      </c>
      <c r="J2" s="25"/>
    </row>
    <row r="3" spans="1:10" s="3" customFormat="1" x14ac:dyDescent="0.25">
      <c r="A3" s="16" t="s">
        <v>7</v>
      </c>
      <c r="B3" s="16">
        <v>100.65</v>
      </c>
      <c r="C3" s="16"/>
      <c r="D3" s="16">
        <f>B3</f>
        <v>100.65</v>
      </c>
      <c r="E3" s="3" t="s">
        <v>23</v>
      </c>
      <c r="F3" s="5"/>
    </row>
    <row r="4" spans="1:10" s="3" customFormat="1" x14ac:dyDescent="0.25">
      <c r="A4" s="16" t="s">
        <v>9</v>
      </c>
      <c r="B4" s="16">
        <f>171+41+10+50</f>
        <v>272</v>
      </c>
      <c r="C4" s="16"/>
      <c r="D4" s="16">
        <f>B4</f>
        <v>272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272</v>
      </c>
    </row>
    <row r="10" spans="1:10" x14ac:dyDescent="0.25">
      <c r="A10" s="13" t="s">
        <v>15</v>
      </c>
      <c r="B10" s="13">
        <v>25</v>
      </c>
      <c r="C10" s="13"/>
      <c r="D10" s="13">
        <v>0</v>
      </c>
      <c r="E10" s="4" t="s">
        <v>23</v>
      </c>
      <c r="G10" s="4">
        <f>SUM(G5:G9)</f>
        <v>927.31887900000004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J26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66.1*B30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13" t="s">
        <v>76</v>
      </c>
      <c r="B15" s="13">
        <f>20*(0.5+1.7+0.5+1+1.5+0.8+0.5)</f>
        <v>130</v>
      </c>
      <c r="C15" s="13">
        <v>0</v>
      </c>
      <c r="D15" s="13">
        <v>45</v>
      </c>
      <c r="J15" s="7"/>
    </row>
    <row r="16" spans="1:10" x14ac:dyDescent="0.25">
      <c r="A16" s="13" t="s">
        <v>79</v>
      </c>
      <c r="B16" s="13">
        <f>15*8.5</f>
        <v>127.5</v>
      </c>
      <c r="C16" s="13"/>
      <c r="D16" s="13">
        <v>40</v>
      </c>
      <c r="J16" s="7"/>
    </row>
    <row r="17" spans="1:10" s="3" customFormat="1" x14ac:dyDescent="0.25">
      <c r="A17" s="16" t="s">
        <v>82</v>
      </c>
      <c r="B17" s="16">
        <v>200</v>
      </c>
      <c r="C17" s="16"/>
      <c r="D17" s="16">
        <f>B17</f>
        <v>200</v>
      </c>
      <c r="J17" s="5"/>
    </row>
    <row r="18" spans="1:10" x14ac:dyDescent="0.25">
      <c r="A18" s="13" t="s">
        <v>54</v>
      </c>
      <c r="B18" s="13">
        <v>0</v>
      </c>
      <c r="C18" s="13"/>
      <c r="D18" s="13">
        <v>0</v>
      </c>
      <c r="F18" s="4">
        <f>D4+D18</f>
        <v>272</v>
      </c>
      <c r="G18" s="4">
        <f>D18+D13+D4</f>
        <v>451.79200000000003</v>
      </c>
      <c r="I18" s="4">
        <f>2.7*100-230</f>
        <v>40</v>
      </c>
      <c r="J18" s="7">
        <f>3848.3-I18</f>
        <v>3808.3</v>
      </c>
    </row>
    <row r="19" spans="1:10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0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0" s="3" customFormat="1" x14ac:dyDescent="0.25">
      <c r="A21" s="20" t="s">
        <v>80</v>
      </c>
      <c r="B21" s="16">
        <f>99+34.9+228.9</f>
        <v>362.8</v>
      </c>
      <c r="C21" s="16"/>
      <c r="D21" s="16">
        <f>B21</f>
        <v>362.8</v>
      </c>
    </row>
    <row r="22" spans="1:10" x14ac:dyDescent="0.25">
      <c r="A22" s="22" t="s">
        <v>75</v>
      </c>
      <c r="B22" s="13">
        <f>118*B30</f>
        <v>320.96000000000004</v>
      </c>
      <c r="C22" s="13"/>
      <c r="D22" s="13">
        <v>0</v>
      </c>
    </row>
    <row r="23" spans="1:10" x14ac:dyDescent="0.25">
      <c r="A23" s="13"/>
      <c r="B23" s="13">
        <v>0</v>
      </c>
      <c r="C23" s="13"/>
      <c r="D23" s="13">
        <v>0</v>
      </c>
    </row>
    <row r="24" spans="1:10" x14ac:dyDescent="0.25">
      <c r="D24" s="13">
        <v>0</v>
      </c>
      <c r="G24" s="4">
        <v>57.16</v>
      </c>
      <c r="H24" s="4">
        <f>D2-B2</f>
        <v>-358</v>
      </c>
      <c r="J24" s="7"/>
    </row>
    <row r="25" spans="1:10" x14ac:dyDescent="0.25">
      <c r="A25" s="4" t="s">
        <v>31</v>
      </c>
      <c r="B25" s="29">
        <f>SUM(D2:D22)</f>
        <v>2418.5288790000004</v>
      </c>
      <c r="C25" s="30" t="s">
        <v>83</v>
      </c>
      <c r="D25" s="13">
        <v>0</v>
      </c>
      <c r="J25" s="7" t="s">
        <v>34</v>
      </c>
    </row>
    <row r="26" spans="1:10" x14ac:dyDescent="0.25">
      <c r="A26" s="4" t="s">
        <v>24</v>
      </c>
      <c r="B26" s="4">
        <f>B28-B25</f>
        <v>886.46</v>
      </c>
      <c r="C26" s="30">
        <f>B26+F31</f>
        <v>1389.7711209999998</v>
      </c>
      <c r="H26" s="4">
        <v>15013</v>
      </c>
      <c r="I26" s="4">
        <f>B12/2.8</f>
        <v>116.25959964285715</v>
      </c>
      <c r="J26" s="7">
        <f>433.66*(H26)/(H26+H27)</f>
        <v>325.52687900000001</v>
      </c>
    </row>
    <row r="27" spans="1:10" x14ac:dyDescent="0.25">
      <c r="D27" s="4">
        <f>B12</f>
        <v>325.52687900000001</v>
      </c>
      <c r="F27" s="4">
        <f>B12+B4+B13</f>
        <v>777.31887900000004</v>
      </c>
      <c r="H27" s="4">
        <v>4987</v>
      </c>
      <c r="J27" s="7"/>
    </row>
    <row r="28" spans="1:10" ht="15.75" x14ac:dyDescent="0.25">
      <c r="A28" s="4" t="s">
        <v>20</v>
      </c>
      <c r="B28" s="14">
        <f>SUM(B2:B18)+B21+B22</f>
        <v>3304.9888790000005</v>
      </c>
      <c r="C28" s="14"/>
      <c r="D28" s="14"/>
      <c r="H28" s="4">
        <f>SUM(H26:H27)</f>
        <v>20000</v>
      </c>
      <c r="J28" s="26">
        <f>2200/B30</f>
        <v>808.82352941176464</v>
      </c>
    </row>
    <row r="29" spans="1:10" x14ac:dyDescent="0.25">
      <c r="B29" s="4">
        <f>B28</f>
        <v>3304.9888790000005</v>
      </c>
      <c r="E29" s="26"/>
    </row>
    <row r="30" spans="1:10" x14ac:dyDescent="0.25">
      <c r="A30" s="7"/>
      <c r="B30" s="4">
        <f>2.72</f>
        <v>2.72</v>
      </c>
      <c r="C30" s="4">
        <f>C28-C29</f>
        <v>0</v>
      </c>
      <c r="E30" s="7"/>
      <c r="F30" s="7" t="s">
        <v>78</v>
      </c>
      <c r="I30" s="4">
        <f>3848.3-310</f>
        <v>3538.3</v>
      </c>
    </row>
    <row r="31" spans="1:10" x14ac:dyDescent="0.25">
      <c r="B31" s="4">
        <f>SUM(B2:B18)-B18</f>
        <v>2621.2288790000002</v>
      </c>
      <c r="E31" s="7"/>
      <c r="F31" s="7">
        <f>3808.3-B28</f>
        <v>503.31112099999973</v>
      </c>
    </row>
    <row r="32" spans="1:10" x14ac:dyDescent="0.25">
      <c r="B32" s="4">
        <f>B31/B30</f>
        <v>963.68708786764705</v>
      </c>
      <c r="F32" s="7">
        <f>F31/B30</f>
        <v>185.04085330882342</v>
      </c>
    </row>
    <row r="33" spans="3:7" x14ac:dyDescent="0.25">
      <c r="G33" s="7"/>
    </row>
    <row r="34" spans="3:7" x14ac:dyDescent="0.25">
      <c r="C34" s="28"/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D28" sqref="D28:E32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45</v>
      </c>
      <c r="C1" s="4" t="s">
        <v>1</v>
      </c>
      <c r="D1" s="4" t="s">
        <v>2</v>
      </c>
      <c r="E1" s="7" t="s">
        <v>3</v>
      </c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E2" s="3" t="s">
        <v>23</v>
      </c>
      <c r="J2" s="24"/>
    </row>
    <row r="3" spans="1:10" s="3" customFormat="1" x14ac:dyDescent="0.25">
      <c r="A3" s="16" t="s">
        <v>7</v>
      </c>
      <c r="B3" s="16">
        <f>100.65+104.8</f>
        <v>205.45</v>
      </c>
      <c r="C3" s="16"/>
      <c r="D3" s="16">
        <f>B3</f>
        <v>205.45</v>
      </c>
      <c r="E3" s="3" t="s">
        <v>23</v>
      </c>
      <c r="F3" s="5"/>
    </row>
    <row r="4" spans="1:10" s="3" customFormat="1" x14ac:dyDescent="0.25">
      <c r="A4" s="16" t="s">
        <v>9</v>
      </c>
      <c r="B4" s="16">
        <f>30+5*2.7</f>
        <v>43.5</v>
      </c>
      <c r="C4" s="16"/>
      <c r="D4" s="16">
        <f>B4</f>
        <v>43.5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43.5</v>
      </c>
    </row>
    <row r="10" spans="1:10" s="3" customFormat="1" x14ac:dyDescent="0.25">
      <c r="A10" s="16" t="s">
        <v>15</v>
      </c>
      <c r="B10" s="16">
        <v>20</v>
      </c>
      <c r="C10" s="16"/>
      <c r="D10" s="16">
        <f>B10</f>
        <v>20</v>
      </c>
      <c r="E10" s="3" t="s">
        <v>23</v>
      </c>
      <c r="G10" s="3">
        <f>SUM(G5:G9)</f>
        <v>698.81887900000004</v>
      </c>
    </row>
    <row r="11" spans="1:10" s="3" customFormat="1" x14ac:dyDescent="0.25">
      <c r="A11" s="16" t="s">
        <v>17</v>
      </c>
      <c r="B11" s="16">
        <v>10</v>
      </c>
      <c r="C11" s="16"/>
      <c r="D11" s="16">
        <f>B11</f>
        <v>10</v>
      </c>
      <c r="E11" s="3" t="s">
        <v>23</v>
      </c>
      <c r="J11" s="5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23" t="s">
        <v>61</v>
      </c>
      <c r="B15" s="13"/>
      <c r="C15" s="13"/>
      <c r="D15" s="13">
        <v>0</v>
      </c>
      <c r="F15" s="4">
        <v>70</v>
      </c>
    </row>
    <row r="16" spans="1:10" x14ac:dyDescent="0.25">
      <c r="A16" s="22" t="s">
        <v>74</v>
      </c>
      <c r="B16" s="13">
        <v>0</v>
      </c>
      <c r="C16" s="13"/>
      <c r="D16" s="13">
        <v>0</v>
      </c>
      <c r="F16" s="4" t="e">
        <f>#REF!+F15</f>
        <v>#REF!</v>
      </c>
    </row>
    <row r="17" spans="1:10" x14ac:dyDescent="0.25">
      <c r="A17" s="22" t="s">
        <v>75</v>
      </c>
      <c r="B17" s="13">
        <f>118*B25</f>
        <v>320.96000000000004</v>
      </c>
      <c r="C17" s="13"/>
      <c r="D17" s="13">
        <v>0</v>
      </c>
    </row>
    <row r="18" spans="1:10" x14ac:dyDescent="0.25">
      <c r="A18" s="13"/>
      <c r="B18" s="13">
        <v>0</v>
      </c>
      <c r="C18" s="13"/>
      <c r="D18" s="13">
        <v>0</v>
      </c>
    </row>
    <row r="19" spans="1:10" x14ac:dyDescent="0.25">
      <c r="D19" s="13">
        <v>0</v>
      </c>
      <c r="G19" s="4">
        <v>57.16</v>
      </c>
      <c r="H19" s="4">
        <f>D2-B2</f>
        <v>0</v>
      </c>
      <c r="J19" s="7"/>
    </row>
    <row r="20" spans="1:10" x14ac:dyDescent="0.25">
      <c r="A20" s="4" t="s">
        <v>31</v>
      </c>
      <c r="B20" s="4">
        <f>SUM(D2:D17)</f>
        <v>1905.028879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320.96000000000004</v>
      </c>
      <c r="C21" s="4">
        <f>B21+F26</f>
        <v>2853.2711210000002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</f>
        <v>590</v>
      </c>
      <c r="F22" s="4">
        <f>B12+B4+B13+E22</f>
        <v>1138.8188789999999</v>
      </c>
      <c r="H22" s="4">
        <v>4987</v>
      </c>
      <c r="J22" s="7"/>
    </row>
    <row r="23" spans="1:10" ht="15.75" x14ac:dyDescent="0.25">
      <c r="A23" s="4" t="s">
        <v>20</v>
      </c>
      <c r="B23" s="14">
        <f>SUM(B2:B14)+B17</f>
        <v>2225.988879</v>
      </c>
      <c r="C23" s="14">
        <f>B23/2.7</f>
        <v>824.44032555555555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2225.988879</v>
      </c>
      <c r="E24" s="26"/>
    </row>
    <row r="25" spans="1:10" x14ac:dyDescent="0.25">
      <c r="A25" s="7"/>
      <c r="B25" s="4">
        <f>2.72</f>
        <v>2.72</v>
      </c>
      <c r="C25" s="4">
        <f>C23-C24</f>
        <v>824.44032555555555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(3808.3+950)-B23</f>
        <v>2532.3111210000002</v>
      </c>
    </row>
    <row r="27" spans="1:10" x14ac:dyDescent="0.25">
      <c r="B27" s="4" t="e">
        <f>B26/B25</f>
        <v>#REF!</v>
      </c>
      <c r="F27" s="7">
        <f>F26/B25</f>
        <v>930.99673566176466</v>
      </c>
    </row>
    <row r="28" spans="1:10" x14ac:dyDescent="0.25">
      <c r="G28" s="7"/>
    </row>
    <row r="29" spans="1:10" x14ac:dyDescent="0.25">
      <c r="C29" s="28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2"/>
  <sheetViews>
    <sheetView workbookViewId="0">
      <selection activeCell="E19" sqref="E19"/>
    </sheetView>
  </sheetViews>
  <sheetFormatPr baseColWidth="10"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22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f>430+362</f>
        <v>792</v>
      </c>
      <c r="C3" s="4" t="s">
        <v>5</v>
      </c>
      <c r="D3" s="4">
        <f>80+35+376+150</f>
        <v>641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290.27</v>
      </c>
      <c r="C4" s="3" t="s">
        <v>5</v>
      </c>
      <c r="D4" s="3" t="s">
        <v>24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213+13*2.88</f>
        <v>250.44</v>
      </c>
      <c r="C5" s="3" t="s">
        <v>5</v>
      </c>
      <c r="D5" s="3" t="s">
        <v>24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8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23</v>
      </c>
    </row>
    <row r="10" spans="1:10" s="3" customFormat="1" x14ac:dyDescent="0.25">
      <c r="A10" s="3" t="s">
        <v>17</v>
      </c>
      <c r="B10" s="3">
        <v>5</v>
      </c>
      <c r="C10" s="3" t="s">
        <v>5</v>
      </c>
      <c r="D10" s="3" t="s">
        <v>8</v>
      </c>
      <c r="E10" s="3" t="s">
        <v>5</v>
      </c>
      <c r="J10" s="5"/>
    </row>
    <row r="11" spans="1:10" s="3" customFormat="1" x14ac:dyDescent="0.25">
      <c r="A11" s="3" t="s">
        <v>25</v>
      </c>
      <c r="B11" s="3">
        <v>100</v>
      </c>
      <c r="C11" s="3" t="s">
        <v>5</v>
      </c>
      <c r="D11" s="3" t="s">
        <v>8</v>
      </c>
      <c r="E11" s="3" t="s">
        <v>5</v>
      </c>
      <c r="J11" s="5"/>
    </row>
    <row r="12" spans="1:10" s="4" customFormat="1" x14ac:dyDescent="0.25">
      <c r="J12" s="7"/>
    </row>
    <row r="13" spans="1:10" s="4" customFormat="1" x14ac:dyDescent="0.25">
      <c r="A13" s="4" t="s">
        <v>26</v>
      </c>
      <c r="B13" s="4">
        <v>0</v>
      </c>
      <c r="J13" s="7"/>
    </row>
    <row r="14" spans="1:10" s="4" customFormat="1" x14ac:dyDescent="0.25">
      <c r="A14" s="4" t="s">
        <v>27</v>
      </c>
      <c r="B14" s="4">
        <f>125.74*2.88</f>
        <v>362.13119999999998</v>
      </c>
      <c r="J14" s="7"/>
    </row>
    <row r="15" spans="1:10" s="4" customFormat="1" x14ac:dyDescent="0.25">
      <c r="G15">
        <v>57.16</v>
      </c>
      <c r="H15" s="4">
        <f>D3-B3</f>
        <v>-151</v>
      </c>
      <c r="J15" s="7"/>
    </row>
    <row r="16" spans="1:10" ht="15.75" x14ac:dyDescent="0.25">
      <c r="A16" t="s">
        <v>20</v>
      </c>
      <c r="B16" s="6">
        <f>SUM(B3:B14)</f>
        <v>2639.0211999999997</v>
      </c>
      <c r="C16" s="6"/>
      <c r="D16" s="6"/>
      <c r="G16">
        <v>80</v>
      </c>
      <c r="H16">
        <f>G21+H15</f>
        <v>225.86</v>
      </c>
    </row>
    <row r="17" spans="1:8" x14ac:dyDescent="0.25">
      <c r="B17">
        <f>B16/2.74</f>
        <v>963.14642335766405</v>
      </c>
      <c r="G17">
        <v>40</v>
      </c>
      <c r="H17">
        <v>300</v>
      </c>
    </row>
    <row r="18" spans="1:8" x14ac:dyDescent="0.25">
      <c r="E18" s="2" t="s">
        <v>21</v>
      </c>
      <c r="G18">
        <v>16.899999999999999</v>
      </c>
    </row>
    <row r="19" spans="1:8" x14ac:dyDescent="0.25">
      <c r="A19">
        <f>957-125.74</f>
        <v>831.26</v>
      </c>
      <c r="D19">
        <v>1305</v>
      </c>
      <c r="E19" s="2">
        <f>1305-B17</f>
        <v>341.85357664233595</v>
      </c>
      <c r="G19">
        <v>62.8</v>
      </c>
    </row>
    <row r="20" spans="1:8" x14ac:dyDescent="0.25">
      <c r="A20" s="3">
        <v>35</v>
      </c>
      <c r="D20">
        <f>D19*2.79</f>
        <v>3640.9500000000003</v>
      </c>
      <c r="G20">
        <v>120</v>
      </c>
    </row>
    <row r="21" spans="1:8" x14ac:dyDescent="0.25">
      <c r="D21">
        <f>-6600+D20</f>
        <v>-2959.0499999999997</v>
      </c>
      <c r="G21" s="2">
        <f>SUM(G15:G20)</f>
        <v>376.86</v>
      </c>
    </row>
    <row r="22" spans="1:8" x14ac:dyDescent="0.25">
      <c r="A22">
        <f>A19+600/2.88</f>
        <v>1039.5933333333332</v>
      </c>
      <c r="B22" s="8">
        <f>A22*2.88</f>
        <v>2994.0287999999996</v>
      </c>
      <c r="C22" s="9">
        <f>2141+174*2.88</f>
        <v>2642.12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2"/>
  <sheetViews>
    <sheetView workbookViewId="0">
      <selection sqref="A1:XFD1048576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f>300</f>
        <v>300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s="10" customFormat="1" x14ac:dyDescent="0.25">
      <c r="A4" s="31" t="s">
        <v>9</v>
      </c>
      <c r="B4" s="31">
        <f>70</f>
        <v>70</v>
      </c>
      <c r="C4" s="31"/>
      <c r="D4" s="31">
        <v>0</v>
      </c>
      <c r="E4" s="10" t="s">
        <v>23</v>
      </c>
      <c r="F4" s="11"/>
      <c r="G4" s="11"/>
    </row>
    <row r="5" spans="1:10" s="3" customFormat="1" x14ac:dyDescent="0.25">
      <c r="A5" s="16" t="s">
        <v>48</v>
      </c>
      <c r="B5" s="16">
        <v>300</v>
      </c>
      <c r="C5" s="16"/>
      <c r="D5" s="16">
        <f>B5:B8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B6:B9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10" customFormat="1" x14ac:dyDescent="0.25">
      <c r="A9" s="31" t="s">
        <v>13</v>
      </c>
      <c r="B9" s="31">
        <f>130.76</f>
        <v>130.76</v>
      </c>
      <c r="C9" s="31"/>
      <c r="D9" s="31">
        <v>0</v>
      </c>
      <c r="E9" s="10" t="s">
        <v>23</v>
      </c>
      <c r="F9" s="10">
        <f>SUM(F5:F8)</f>
        <v>0</v>
      </c>
      <c r="G9" s="10">
        <f>B4</f>
        <v>70</v>
      </c>
    </row>
    <row r="10" spans="1:10" s="3" customFormat="1" x14ac:dyDescent="0.25">
      <c r="A10" s="16" t="s">
        <v>85</v>
      </c>
      <c r="B10" s="16">
        <v>35</v>
      </c>
      <c r="C10" s="16"/>
      <c r="D10" s="16">
        <v>35</v>
      </c>
      <c r="E10" s="3" t="s">
        <v>23</v>
      </c>
      <c r="G10" s="3">
        <f>SUM(G5:G9)</f>
        <v>725.31887900000004</v>
      </c>
    </row>
    <row r="11" spans="1:10" s="10" customFormat="1" x14ac:dyDescent="0.25">
      <c r="A11" s="31" t="s">
        <v>17</v>
      </c>
      <c r="B11" s="31">
        <v>10</v>
      </c>
      <c r="C11" s="31"/>
      <c r="D11" s="31">
        <v>5</v>
      </c>
      <c r="E11" s="10" t="s">
        <v>23</v>
      </c>
      <c r="J11" s="11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s="3" customFormat="1" x14ac:dyDescent="0.25">
      <c r="A14" s="16" t="s">
        <v>32</v>
      </c>
      <c r="B14" s="16">
        <v>100</v>
      </c>
      <c r="C14" s="16"/>
      <c r="D14" s="16">
        <f>B14</f>
        <v>100</v>
      </c>
      <c r="E14" s="3" t="s">
        <v>23</v>
      </c>
      <c r="J14" s="5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23" t="s">
        <v>61</v>
      </c>
      <c r="B16" s="13"/>
      <c r="C16" s="13"/>
      <c r="D16" s="13">
        <v>0</v>
      </c>
      <c r="F16" s="4">
        <v>70</v>
      </c>
    </row>
    <row r="17" spans="1:10" x14ac:dyDescent="0.25">
      <c r="A17" s="22" t="s">
        <v>74</v>
      </c>
      <c r="B17" s="13">
        <v>0</v>
      </c>
      <c r="C17" s="13"/>
      <c r="D17" s="13">
        <v>0</v>
      </c>
      <c r="F17" s="4" t="e">
        <f>#REF!+F16</f>
        <v>#REF!</v>
      </c>
    </row>
    <row r="18" spans="1:10" s="3" customFormat="1" x14ac:dyDescent="0.25">
      <c r="A18" s="20" t="s">
        <v>75</v>
      </c>
      <c r="B18" s="16">
        <f>118*B25</f>
        <v>320.96000000000004</v>
      </c>
      <c r="C18" s="16"/>
      <c r="D18" s="16">
        <f>B18</f>
        <v>320.96000000000004</v>
      </c>
    </row>
    <row r="19" spans="1:10" x14ac:dyDescent="0.25">
      <c r="D19" s="13">
        <v>0</v>
      </c>
      <c r="G19" s="4">
        <v>57.16</v>
      </c>
      <c r="H19" s="4">
        <f>D2-B2</f>
        <v>-100</v>
      </c>
      <c r="J19" s="7"/>
    </row>
    <row r="20" spans="1:10" x14ac:dyDescent="0.25">
      <c r="A20" s="4" t="s">
        <v>31</v>
      </c>
      <c r="B20" s="4">
        <f>SUM(D2:D18)</f>
        <v>2196.278879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305.75999999999976</v>
      </c>
      <c r="C21" s="4">
        <f>B21+F26</f>
        <v>2803.721121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SUM(B5:B8)+37</f>
        <v>627</v>
      </c>
      <c r="F22" s="4">
        <f>SUM(D22:E22)</f>
        <v>952.52687900000001</v>
      </c>
      <c r="H22" s="4">
        <v>4987</v>
      </c>
      <c r="J22" s="7"/>
    </row>
    <row r="23" spans="1:10" ht="15.75" x14ac:dyDescent="0.25">
      <c r="A23" s="4" t="s">
        <v>20</v>
      </c>
      <c r="B23" s="14">
        <f>SUM(B2:B15)+B18</f>
        <v>2502.0388789999997</v>
      </c>
      <c r="C23" s="14">
        <f>B23/2.7</f>
        <v>926.68106629629608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2502.0388789999997</v>
      </c>
      <c r="E24" s="26"/>
    </row>
    <row r="25" spans="1:10" x14ac:dyDescent="0.25">
      <c r="A25" s="7"/>
      <c r="B25" s="4">
        <f>2.72</f>
        <v>2.72</v>
      </c>
      <c r="C25" s="4">
        <f>C23-C24</f>
        <v>926.68106629629608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(5000)-B23</f>
        <v>2497.9611210000003</v>
      </c>
    </row>
    <row r="27" spans="1:10" x14ac:dyDescent="0.25">
      <c r="B27" s="4" t="e">
        <f>B26/B25</f>
        <v>#REF!</v>
      </c>
      <c r="F27" s="7">
        <f>F26/B25</f>
        <v>918.36805919117649</v>
      </c>
    </row>
    <row r="28" spans="1:10" x14ac:dyDescent="0.25">
      <c r="D28" s="4">
        <v>-3800</v>
      </c>
      <c r="E28" s="4">
        <v>100</v>
      </c>
      <c r="G28" s="7"/>
    </row>
    <row r="29" spans="1:10" x14ac:dyDescent="0.25">
      <c r="C29" s="28"/>
      <c r="D29" s="4">
        <v>6377</v>
      </c>
      <c r="E29" s="4">
        <v>2500</v>
      </c>
    </row>
    <row r="30" spans="1:10" x14ac:dyDescent="0.25">
      <c r="D30" s="4">
        <f>SUM(D28:D29)</f>
        <v>2577</v>
      </c>
      <c r="E30" s="4">
        <v>2500</v>
      </c>
    </row>
    <row r="31" spans="1:10" x14ac:dyDescent="0.25">
      <c r="E31" s="4">
        <v>800</v>
      </c>
    </row>
    <row r="32" spans="1:10" x14ac:dyDescent="0.25">
      <c r="E32" s="4">
        <f>SUM(E28:E31)</f>
        <v>5900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workbookViewId="0"/>
  </sheetViews>
  <sheetFormatPr baseColWidth="10" defaultColWidth="9.140625" defaultRowHeight="15" x14ac:dyDescent="0.25"/>
  <cols>
    <col min="1" max="1" width="26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v>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x14ac:dyDescent="0.25">
      <c r="A4" s="13" t="s">
        <v>9</v>
      </c>
      <c r="B4" s="13">
        <f>60+8*B29</f>
        <v>81.760000000000005</v>
      </c>
      <c r="C4" s="13"/>
      <c r="D4" s="13">
        <v>0</v>
      </c>
      <c r="E4" s="4" t="s">
        <v>23</v>
      </c>
      <c r="F4" s="7"/>
      <c r="G4" s="7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81.760000000000005</v>
      </c>
    </row>
    <row r="10" spans="1:10" x14ac:dyDescent="0.25">
      <c r="A10" s="13" t="s">
        <v>85</v>
      </c>
      <c r="B10" s="13">
        <v>35</v>
      </c>
      <c r="C10" s="13"/>
      <c r="D10" s="13">
        <v>0</v>
      </c>
      <c r="E10" s="4" t="s">
        <v>23</v>
      </c>
      <c r="G10" s="4">
        <f>SUM(G5:G9)</f>
        <v>737.07887900000003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J25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66.1*B29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100</v>
      </c>
      <c r="C14" s="13"/>
      <c r="D14" s="13">
        <v>80</v>
      </c>
      <c r="E14" s="4" t="s">
        <v>23</v>
      </c>
      <c r="J14" s="7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13" t="s">
        <v>79</v>
      </c>
      <c r="B16" s="13">
        <f>20*8.5</f>
        <v>170</v>
      </c>
      <c r="C16" s="13"/>
      <c r="D16" s="13"/>
      <c r="J16" s="7"/>
    </row>
    <row r="17" spans="1:10" x14ac:dyDescent="0.25">
      <c r="A17" s="13" t="s">
        <v>87</v>
      </c>
      <c r="B17" s="13">
        <f>20*(0.5+1.5+1.5+1.5+0.8+0.5)</f>
        <v>126</v>
      </c>
      <c r="C17" s="13"/>
      <c r="D17" s="13"/>
      <c r="J17" s="7"/>
    </row>
    <row r="18" spans="1:10" x14ac:dyDescent="0.25">
      <c r="A18" s="23" t="s">
        <v>61</v>
      </c>
      <c r="B18" s="13"/>
      <c r="C18" s="13"/>
      <c r="D18" s="13">
        <v>0</v>
      </c>
      <c r="F18" s="4">
        <v>70</v>
      </c>
    </row>
    <row r="19" spans="1:10" x14ac:dyDescent="0.25">
      <c r="A19" s="22" t="s">
        <v>74</v>
      </c>
      <c r="B19" s="13">
        <v>0</v>
      </c>
      <c r="C19" s="13"/>
      <c r="D19" s="13">
        <v>0</v>
      </c>
      <c r="F19" s="4" t="e">
        <f>#REF!+F18</f>
        <v>#REF!</v>
      </c>
    </row>
    <row r="20" spans="1:10" x14ac:dyDescent="0.25">
      <c r="A20" s="22" t="s">
        <v>86</v>
      </c>
      <c r="B20" s="13">
        <v>0</v>
      </c>
      <c r="C20" s="13"/>
      <c r="D20" s="13">
        <v>0</v>
      </c>
    </row>
    <row r="21" spans="1:10" x14ac:dyDescent="0.25">
      <c r="A21" s="22"/>
      <c r="B21" s="13"/>
      <c r="C21" s="13"/>
      <c r="D21" s="13"/>
    </row>
    <row r="22" spans="1:10" x14ac:dyDescent="0.25">
      <c r="A22" s="22"/>
      <c r="B22" s="13"/>
      <c r="C22" s="13"/>
      <c r="D22" s="13"/>
    </row>
    <row r="23" spans="1:10" x14ac:dyDescent="0.25">
      <c r="D23" s="31">
        <v>0</v>
      </c>
      <c r="G23" s="4">
        <v>57.16</v>
      </c>
      <c r="H23" s="4">
        <f>D2-B2</f>
        <v>-400</v>
      </c>
      <c r="J23" s="7"/>
    </row>
    <row r="24" spans="1:10" x14ac:dyDescent="0.25">
      <c r="A24" s="4" t="s">
        <v>31</v>
      </c>
      <c r="B24" s="4">
        <f>SUM(D2:D20)</f>
        <v>1646.0788789999999</v>
      </c>
      <c r="C24" s="4" t="s">
        <v>83</v>
      </c>
      <c r="D24" s="13">
        <v>0</v>
      </c>
      <c r="J24" s="7" t="s">
        <v>34</v>
      </c>
    </row>
    <row r="25" spans="1:10" x14ac:dyDescent="0.25">
      <c r="A25" s="4" t="s">
        <v>24</v>
      </c>
      <c r="B25" s="26">
        <f>B27-B24</f>
        <v>842.76</v>
      </c>
      <c r="C25" s="4">
        <f>B25+F30</f>
        <v>1753.9211210000001</v>
      </c>
      <c r="H25" s="4">
        <v>15013</v>
      </c>
      <c r="I25" s="4">
        <f>B12/2.8</f>
        <v>116.25959964285715</v>
      </c>
      <c r="J25" s="7">
        <f>433.66*(H25)/(H25+H26)</f>
        <v>325.52687900000001</v>
      </c>
    </row>
    <row r="26" spans="1:10" x14ac:dyDescent="0.25">
      <c r="D26" s="4">
        <f>B12+B5+B6+B7+B8+B13</f>
        <v>1095.3188789999999</v>
      </c>
      <c r="E26" s="4">
        <f>SUM(B5:B8)+37+4</f>
        <v>631</v>
      </c>
      <c r="F26" s="4">
        <f>SUM(D26:E26)</f>
        <v>1726.3188789999999</v>
      </c>
      <c r="H26" s="4">
        <v>4987</v>
      </c>
      <c r="J26" s="7"/>
    </row>
    <row r="27" spans="1:10" ht="15.75" x14ac:dyDescent="0.25">
      <c r="A27" s="4" t="s">
        <v>20</v>
      </c>
      <c r="B27" s="14">
        <f>SUM(B2:B17)+B20</f>
        <v>2488.8388789999999</v>
      </c>
      <c r="C27" s="14">
        <f>B27/2.7</f>
        <v>921.79217740740728</v>
      </c>
      <c r="D27" s="14"/>
      <c r="H27" s="4">
        <f>SUM(H25:H26)</f>
        <v>20000</v>
      </c>
      <c r="J27" s="26">
        <f>2200/B29</f>
        <v>808.82352941176464</v>
      </c>
    </row>
    <row r="28" spans="1:10" x14ac:dyDescent="0.25">
      <c r="B28" s="4">
        <f>B27</f>
        <v>2488.8388789999999</v>
      </c>
      <c r="E28" s="26"/>
    </row>
    <row r="29" spans="1:10" x14ac:dyDescent="0.25">
      <c r="A29" s="7"/>
      <c r="B29" s="4">
        <f>2.72</f>
        <v>2.72</v>
      </c>
      <c r="C29" s="4">
        <f>C27-C28</f>
        <v>921.79217740740728</v>
      </c>
      <c r="E29" s="7"/>
      <c r="F29" s="7" t="s">
        <v>78</v>
      </c>
      <c r="I29" s="4">
        <f>3848.3-310</f>
        <v>3538.3</v>
      </c>
    </row>
    <row r="30" spans="1:10" x14ac:dyDescent="0.25">
      <c r="B30" s="4" t="e">
        <f>SUM(B2:B14)-#REF!</f>
        <v>#REF!</v>
      </c>
      <c r="E30" s="7"/>
      <c r="F30" s="7">
        <f>(3400)-B27</f>
        <v>911.16112100000009</v>
      </c>
    </row>
    <row r="31" spans="1:10" x14ac:dyDescent="0.25">
      <c r="B31" s="4" t="e">
        <f>B30/B29</f>
        <v>#REF!</v>
      </c>
      <c r="F31" s="7">
        <f>F30/B29</f>
        <v>334.98570625000002</v>
      </c>
    </row>
    <row r="32" spans="1:10" x14ac:dyDescent="0.25">
      <c r="D32" s="4">
        <v>-3800</v>
      </c>
      <c r="E32" s="4">
        <v>100</v>
      </c>
      <c r="G32" s="7"/>
    </row>
    <row r="33" spans="1:5" x14ac:dyDescent="0.25">
      <c r="C33" s="28"/>
      <c r="D33" s="4">
        <v>6377</v>
      </c>
      <c r="E33" s="4">
        <v>2500</v>
      </c>
    </row>
    <row r="34" spans="1:5" x14ac:dyDescent="0.25">
      <c r="D34" s="4">
        <f>SUM(D32:D33)</f>
        <v>2577</v>
      </c>
      <c r="E34" s="4">
        <v>2500</v>
      </c>
    </row>
    <row r="35" spans="1:5" x14ac:dyDescent="0.25">
      <c r="A35" s="3">
        <v>1900</v>
      </c>
      <c r="E35" s="4">
        <v>800</v>
      </c>
    </row>
    <row r="36" spans="1:5" x14ac:dyDescent="0.25">
      <c r="A36" s="3">
        <v>-260</v>
      </c>
      <c r="E36" s="4">
        <f>SUM(E32:E35)</f>
        <v>5900</v>
      </c>
    </row>
    <row r="37" spans="1:5" x14ac:dyDescent="0.25">
      <c r="A37" s="3">
        <f>SUM(A35:A36)</f>
        <v>1640</v>
      </c>
    </row>
    <row r="39" spans="1:5" x14ac:dyDescent="0.25">
      <c r="A39" s="33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6"/>
  <sheetViews>
    <sheetView zoomScale="90" zoomScaleNormal="90" workbookViewId="0">
      <selection sqref="A1:XFD1048576"/>
    </sheetView>
  </sheetViews>
  <sheetFormatPr baseColWidth="10"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56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600</v>
      </c>
      <c r="C2" s="16"/>
      <c r="D2" s="16">
        <v>600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140+6*B36</f>
        <v>156.32</v>
      </c>
      <c r="C4" s="16"/>
      <c r="D4" s="16">
        <f>B4</f>
        <v>156.32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91</v>
      </c>
      <c r="B10" s="16">
        <v>85</v>
      </c>
      <c r="C10" s="16"/>
      <c r="D10" s="16">
        <f>B10</f>
        <v>85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v>135</v>
      </c>
    </row>
    <row r="12" spans="1:10" x14ac:dyDescent="0.25">
      <c r="A12" s="13" t="s">
        <v>17</v>
      </c>
      <c r="B12" s="13">
        <v>10</v>
      </c>
      <c r="C12" s="13"/>
      <c r="D12" s="13">
        <v>5</v>
      </c>
      <c r="J12" s="7"/>
    </row>
    <row r="13" spans="1:10" s="3" customFormat="1" x14ac:dyDescent="0.25">
      <c r="A13" s="16" t="s">
        <v>26</v>
      </c>
      <c r="B13" s="16">
        <f>J32+200*B36</f>
        <v>869.52687900000001</v>
      </c>
      <c r="C13" s="16"/>
      <c r="D13" s="16">
        <f>B13</f>
        <v>869.52687900000001</v>
      </c>
      <c r="J13" s="5"/>
    </row>
    <row r="14" spans="1:10" s="3" customFormat="1" x14ac:dyDescent="0.25">
      <c r="A14" s="16" t="s">
        <v>27</v>
      </c>
      <c r="B14" s="16">
        <f>66.1*B36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B15</f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8.5*15</f>
        <v>127.5</v>
      </c>
      <c r="J17" s="7"/>
    </row>
    <row r="18" spans="1:10" x14ac:dyDescent="0.25">
      <c r="A18" s="13" t="s">
        <v>87</v>
      </c>
      <c r="B18" s="13">
        <f>20*(0.7+0.8+1.5+1.5+0.8+0.7)</f>
        <v>120</v>
      </c>
      <c r="C18" s="13"/>
      <c r="D18" s="13">
        <f>15*(120/20)</f>
        <v>90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>15*(60/20)</f>
        <v>45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  <c r="J20" s="4">
        <f>1557.86-700</f>
        <v>857.8599999999999</v>
      </c>
    </row>
    <row r="21" spans="1:10" x14ac:dyDescent="0.25">
      <c r="A21" s="22" t="s">
        <v>74</v>
      </c>
      <c r="B21" s="13">
        <v>0</v>
      </c>
      <c r="C21" s="13"/>
      <c r="D21" s="13">
        <v>0</v>
      </c>
      <c r="F21" s="4" t="e">
        <f>#REF!+F20</f>
        <v>#REF!</v>
      </c>
    </row>
    <row r="22" spans="1:10" s="3" customFormat="1" x14ac:dyDescent="0.25">
      <c r="A22" s="20" t="s">
        <v>86</v>
      </c>
      <c r="B22" s="16">
        <v>400</v>
      </c>
      <c r="C22" s="16"/>
      <c r="D22" s="16">
        <f>B22</f>
        <v>400</v>
      </c>
    </row>
    <row r="23" spans="1:10" s="3" customFormat="1" x14ac:dyDescent="0.25">
      <c r="A23" s="20" t="s">
        <v>95</v>
      </c>
      <c r="B23" s="16">
        <v>200</v>
      </c>
      <c r="C23" s="16"/>
      <c r="D23" s="16">
        <f>B23</f>
        <v>200</v>
      </c>
    </row>
    <row r="24" spans="1:10" s="3" customFormat="1" x14ac:dyDescent="0.25">
      <c r="A24" s="20" t="s">
        <v>90</v>
      </c>
      <c r="B24" s="16">
        <v>83.53</v>
      </c>
      <c r="C24" s="16"/>
      <c r="D24" s="16">
        <f>B24</f>
        <v>83.53</v>
      </c>
    </row>
    <row r="25" spans="1:10" s="3" customFormat="1" x14ac:dyDescent="0.25">
      <c r="A25" s="20" t="s">
        <v>92</v>
      </c>
      <c r="B25" s="16">
        <v>150</v>
      </c>
      <c r="C25" s="16" t="s">
        <v>93</v>
      </c>
      <c r="D25" s="16">
        <f>B25</f>
        <v>150</v>
      </c>
    </row>
    <row r="26" spans="1:10" x14ac:dyDescent="0.25">
      <c r="A26" s="22" t="s">
        <v>97</v>
      </c>
      <c r="B26" s="13">
        <v>18.04</v>
      </c>
      <c r="C26" s="13"/>
      <c r="D26" s="13"/>
    </row>
    <row r="27" spans="1:10" s="3" customFormat="1" x14ac:dyDescent="0.25">
      <c r="A27" s="20" t="s">
        <v>98</v>
      </c>
      <c r="B27" s="16">
        <v>37</v>
      </c>
      <c r="C27" s="16"/>
      <c r="D27" s="16">
        <v>37</v>
      </c>
    </row>
    <row r="28" spans="1:10" s="3" customFormat="1" x14ac:dyDescent="0.25">
      <c r="A28" s="20" t="s">
        <v>99</v>
      </c>
      <c r="B28" s="16">
        <v>30</v>
      </c>
      <c r="C28" s="16"/>
      <c r="D28" s="16">
        <v>30</v>
      </c>
    </row>
    <row r="29" spans="1:10" x14ac:dyDescent="0.25">
      <c r="A29" s="22"/>
      <c r="B29" s="13"/>
      <c r="C29" s="13"/>
      <c r="D29" s="13"/>
    </row>
    <row r="30" spans="1:10" x14ac:dyDescent="0.25">
      <c r="D30" s="13">
        <v>0</v>
      </c>
      <c r="G30" s="4">
        <v>57.16</v>
      </c>
      <c r="H30" s="4">
        <f>D2-B2</f>
        <v>0</v>
      </c>
      <c r="J30" s="7"/>
    </row>
    <row r="31" spans="1:10" x14ac:dyDescent="0.25">
      <c r="A31" s="4" t="s">
        <v>31</v>
      </c>
      <c r="B31" s="4">
        <f>SUM(D2:D28)</f>
        <v>4349.4288790000001</v>
      </c>
      <c r="D31" s="13">
        <v>0</v>
      </c>
      <c r="J31" s="7" t="s">
        <v>34</v>
      </c>
    </row>
    <row r="32" spans="1:10" x14ac:dyDescent="0.25">
      <c r="A32" s="4" t="s">
        <v>24</v>
      </c>
      <c r="B32" s="26">
        <f>B34-B31</f>
        <v>110.53999999999996</v>
      </c>
      <c r="C32" s="4">
        <f>840-B32</f>
        <v>729.46</v>
      </c>
      <c r="H32" s="4">
        <v>15013</v>
      </c>
      <c r="I32" s="4">
        <f>B13/2.8</f>
        <v>310.54531392857143</v>
      </c>
      <c r="J32" s="7">
        <f>433.66*(H32)/(H32+H33)</f>
        <v>325.52687900000001</v>
      </c>
    </row>
    <row r="33" spans="1:10" x14ac:dyDescent="0.25">
      <c r="D33" s="4">
        <f>B13+B5+B6+B7+B8+B14</f>
        <v>1634.3188789999999</v>
      </c>
      <c r="E33" s="4">
        <f>SUM(B5:B8)</f>
        <v>585</v>
      </c>
      <c r="F33" s="4">
        <f>SUM(B13)</f>
        <v>869.52687900000001</v>
      </c>
      <c r="H33" s="4">
        <v>4987</v>
      </c>
      <c r="J33" s="7"/>
    </row>
    <row r="34" spans="1:10" ht="15.75" x14ac:dyDescent="0.25">
      <c r="A34" s="4" t="s">
        <v>20</v>
      </c>
      <c r="B34" s="14">
        <f>SUM(B2:B19)+SUM(B22:B28)</f>
        <v>4459.968879</v>
      </c>
      <c r="C34" s="14">
        <f>B34/B36</f>
        <v>1639.6944408088234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4459.968879</v>
      </c>
      <c r="E35" s="26"/>
    </row>
    <row r="36" spans="1:10" x14ac:dyDescent="0.25">
      <c r="A36" s="7"/>
      <c r="B36" s="4">
        <f>2.72</f>
        <v>2.72</v>
      </c>
      <c r="C36" s="4">
        <f>C34-C35</f>
        <v>1639.6944408088234</v>
      </c>
      <c r="E36" s="7"/>
      <c r="F36" s="7" t="s">
        <v>78</v>
      </c>
      <c r="I36" s="4">
        <f>3848.3-310</f>
        <v>3538.3</v>
      </c>
    </row>
    <row r="37" spans="1:10" x14ac:dyDescent="0.25">
      <c r="B37" s="4" t="e">
        <f>SUM(B2:B15)-#REF!</f>
        <v>#REF!</v>
      </c>
      <c r="E37" s="7"/>
      <c r="F37" s="7">
        <f>(4497)-B34+J20</f>
        <v>894.89112099999988</v>
      </c>
    </row>
    <row r="38" spans="1:10" x14ac:dyDescent="0.25">
      <c r="B38" s="4" t="e">
        <f>B37/B36</f>
        <v>#REF!</v>
      </c>
      <c r="F38" s="7">
        <f>F37/B36</f>
        <v>329.00408860294112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A42" s="4">
        <v>1900</v>
      </c>
      <c r="B42" s="4">
        <v>12</v>
      </c>
      <c r="E42" s="4">
        <v>800</v>
      </c>
    </row>
    <row r="43" spans="1:10" x14ac:dyDescent="0.25">
      <c r="A43" s="4">
        <v>-260</v>
      </c>
      <c r="E43" s="4">
        <f>SUM(E39:E42)</f>
        <v>5900</v>
      </c>
    </row>
    <row r="44" spans="1:10" x14ac:dyDescent="0.25">
      <c r="A44" s="4">
        <f>SUM(A42:A43)</f>
        <v>1640</v>
      </c>
    </row>
    <row r="46" spans="1:10" x14ac:dyDescent="0.25">
      <c r="A46" s="4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2"/>
  <sheetViews>
    <sheetView workbookViewId="0">
      <selection activeCell="D28" sqref="D28"/>
    </sheetView>
  </sheetViews>
  <sheetFormatPr baseColWidth="10"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57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f>150+50+100+30+120</f>
        <v>450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236+6*B32</f>
        <v>252.32</v>
      </c>
      <c r="C4" s="16"/>
      <c r="D4" s="16">
        <f>B4</f>
        <v>252.32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H7" s="3">
        <v>-3248.46</v>
      </c>
      <c r="I7" s="3">
        <v>4650</v>
      </c>
      <c r="J7" s="3">
        <f>SUM(H7:I7)</f>
        <v>1401.54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H8" s="3">
        <v>4258.79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H9" s="3">
        <f>SUM(H7:H8)-150</f>
        <v>860.32999999999993</v>
      </c>
      <c r="I9" s="36">
        <f>122.65*B32</f>
        <v>333.60800000000006</v>
      </c>
      <c r="J9" s="36">
        <f>H9-I9</f>
        <v>526.72199999999987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135</f>
        <v>135</v>
      </c>
      <c r="E10" s="3">
        <f>200+B4+B13</f>
        <v>996.31999999999994</v>
      </c>
    </row>
    <row r="11" spans="1:10" s="3" customFormat="1" x14ac:dyDescent="0.25">
      <c r="A11" s="16" t="s">
        <v>17</v>
      </c>
      <c r="B11" s="16">
        <v>10</v>
      </c>
      <c r="C11" s="16"/>
      <c r="D11" s="16">
        <v>10</v>
      </c>
      <c r="H11" s="3">
        <f>SUM(H7:H8)</f>
        <v>1010.3299999999999</v>
      </c>
      <c r="J11" s="5"/>
    </row>
    <row r="12" spans="1:10" s="3" customFormat="1" x14ac:dyDescent="0.25">
      <c r="A12" s="16" t="s">
        <v>26</v>
      </c>
      <c r="B12" s="16">
        <f>J28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200*B32</f>
        <v>544</v>
      </c>
      <c r="C13" s="16"/>
      <c r="D13" s="16">
        <f>B13</f>
        <v>544</v>
      </c>
      <c r="J13" s="5"/>
    </row>
    <row r="14" spans="1:10" s="3" customFormat="1" x14ac:dyDescent="0.25">
      <c r="A14" s="16" t="s">
        <v>27</v>
      </c>
      <c r="B14" s="16">
        <f>66.1*B32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s="3" customFormat="1" x14ac:dyDescent="0.25">
      <c r="A17" s="16" t="s">
        <v>79</v>
      </c>
      <c r="B17" s="16">
        <f>20*8.5</f>
        <v>170</v>
      </c>
      <c r="C17" s="16"/>
      <c r="D17" s="16">
        <f>B17*(20/20)</f>
        <v>170</v>
      </c>
      <c r="J17" s="5"/>
    </row>
    <row r="18" spans="1:10" s="3" customFormat="1" x14ac:dyDescent="0.25">
      <c r="A18" s="16" t="s">
        <v>87</v>
      </c>
      <c r="B18" s="16">
        <f>20*(2+0.7+1.5+1.5+0.8+0.7)</f>
        <v>144</v>
      </c>
      <c r="C18" s="16"/>
      <c r="D18" s="16">
        <f>B18*(20/20)</f>
        <v>144</v>
      </c>
      <c r="J18" s="5"/>
    </row>
    <row r="19" spans="1:10" s="3" customFormat="1" x14ac:dyDescent="0.25">
      <c r="A19" s="16" t="s">
        <v>89</v>
      </c>
      <c r="B19" s="16">
        <f>(1.5+1.5)*20</f>
        <v>60</v>
      </c>
      <c r="C19" s="16"/>
      <c r="D19" s="16">
        <f>B19*(20/20)</f>
        <v>60</v>
      </c>
      <c r="J19" s="5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</row>
    <row r="21" spans="1:10" s="3" customFormat="1" x14ac:dyDescent="0.25">
      <c r="A21" s="20" t="s">
        <v>95</v>
      </c>
      <c r="B21" s="16">
        <v>200</v>
      </c>
      <c r="C21" s="16"/>
      <c r="D21" s="16">
        <f>200</f>
        <v>200</v>
      </c>
    </row>
    <row r="22" spans="1:10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0" s="3" customFormat="1" x14ac:dyDescent="0.25">
      <c r="A23" s="20" t="s">
        <v>100</v>
      </c>
      <c r="B23" s="16">
        <v>100</v>
      </c>
      <c r="C23" s="16"/>
      <c r="D23" s="16">
        <v>100</v>
      </c>
    </row>
    <row r="24" spans="1:10" s="3" customFormat="1" x14ac:dyDescent="0.25">
      <c r="A24" s="20" t="s">
        <v>102</v>
      </c>
      <c r="B24" s="16">
        <f>48+60</f>
        <v>108</v>
      </c>
      <c r="C24" s="16"/>
      <c r="D24" s="16">
        <f>B24</f>
        <v>108</v>
      </c>
    </row>
    <row r="25" spans="1:10" s="3" customFormat="1" x14ac:dyDescent="0.25">
      <c r="A25" s="20" t="s">
        <v>103</v>
      </c>
      <c r="B25" s="16">
        <v>30</v>
      </c>
      <c r="C25" s="16"/>
      <c r="D25" s="16">
        <f>B25</f>
        <v>30</v>
      </c>
    </row>
    <row r="26" spans="1:10" x14ac:dyDescent="0.25">
      <c r="D26" s="13">
        <v>0</v>
      </c>
      <c r="G26" s="4">
        <v>57.16</v>
      </c>
      <c r="H26" s="4">
        <f>D2-B2</f>
        <v>-150</v>
      </c>
      <c r="J26" s="7"/>
    </row>
    <row r="27" spans="1:10" x14ac:dyDescent="0.25">
      <c r="A27" s="4" t="s">
        <v>31</v>
      </c>
      <c r="B27" s="4">
        <f>SUM(D2:D25)</f>
        <v>3914.3988789999999</v>
      </c>
      <c r="D27" s="13">
        <v>0</v>
      </c>
      <c r="J27" s="7" t="s">
        <v>34</v>
      </c>
    </row>
    <row r="28" spans="1:10" x14ac:dyDescent="0.25">
      <c r="A28" s="4" t="s">
        <v>24</v>
      </c>
      <c r="B28" s="26">
        <f>B30-B27</f>
        <v>150</v>
      </c>
      <c r="D28" s="7">
        <f>B28+F33+B46</f>
        <v>892.60112100000015</v>
      </c>
      <c r="H28" s="4">
        <v>15013</v>
      </c>
      <c r="I28" s="4">
        <f>B12/2.8</f>
        <v>116.25959964285715</v>
      </c>
      <c r="J28" s="7">
        <f>433.66*(H28)/(H28+H29)</f>
        <v>325.52687900000001</v>
      </c>
    </row>
    <row r="29" spans="1:10" x14ac:dyDescent="0.25">
      <c r="F29" s="4">
        <f>SUM(B12)</f>
        <v>325.52687900000001</v>
      </c>
      <c r="H29" s="4">
        <v>4987</v>
      </c>
      <c r="J29" s="7"/>
    </row>
    <row r="30" spans="1:10" ht="15.75" x14ac:dyDescent="0.25">
      <c r="A30" s="4" t="s">
        <v>20</v>
      </c>
      <c r="B30" s="14">
        <f>SUM(B2:B19)+SUM(B21:B25)</f>
        <v>4064.3988789999999</v>
      </c>
      <c r="C30" s="14">
        <f>B30/B32</f>
        <v>1494.2642937499998</v>
      </c>
      <c r="D30" s="14"/>
      <c r="H30" s="4">
        <f>SUM(H28:H29)</f>
        <v>20000</v>
      </c>
      <c r="J30" s="26">
        <f>2200/B32</f>
        <v>808.82352941176464</v>
      </c>
    </row>
    <row r="31" spans="1:10" x14ac:dyDescent="0.25">
      <c r="B31" s="4">
        <f>B30</f>
        <v>4064.3988789999999</v>
      </c>
      <c r="E31" s="26"/>
    </row>
    <row r="32" spans="1:10" x14ac:dyDescent="0.25">
      <c r="A32" s="7"/>
      <c r="B32" s="4">
        <f>2.72</f>
        <v>2.72</v>
      </c>
      <c r="C32" s="4">
        <f>C30-C31</f>
        <v>1494.2642937499998</v>
      </c>
      <c r="E32" s="7"/>
      <c r="F32" s="7" t="s">
        <v>78</v>
      </c>
      <c r="I32" s="4">
        <f>3848.3-310</f>
        <v>3538.3</v>
      </c>
    </row>
    <row r="33" spans="1:8" x14ac:dyDescent="0.25">
      <c r="B33" s="4">
        <f>SUM(B2:B15)</f>
        <v>3102.3988789999999</v>
      </c>
      <c r="E33" s="7"/>
      <c r="F33" s="7">
        <f>(4600+285)-B30-20-65-55-10-100-100</f>
        <v>470.60112100000015</v>
      </c>
    </row>
    <row r="34" spans="1:8" x14ac:dyDescent="0.25">
      <c r="B34" s="4">
        <f>B33/B32</f>
        <v>1140.5878231617646</v>
      </c>
      <c r="F34" s="7">
        <f>F33/B32</f>
        <v>173.01511801470593</v>
      </c>
    </row>
    <row r="35" spans="1:8" x14ac:dyDescent="0.25">
      <c r="D35" s="4">
        <v>-3800</v>
      </c>
      <c r="E35" s="4">
        <v>100</v>
      </c>
      <c r="G35" s="7"/>
      <c r="H35" s="4">
        <f>4800-500</f>
        <v>4300</v>
      </c>
    </row>
    <row r="36" spans="1:8" x14ac:dyDescent="0.25">
      <c r="C36" s="28"/>
      <c r="D36" s="4">
        <v>6377</v>
      </c>
      <c r="E36" s="4">
        <v>2500</v>
      </c>
    </row>
    <row r="37" spans="1:8" x14ac:dyDescent="0.25">
      <c r="D37" s="4">
        <f>SUM(D35:D36)</f>
        <v>2577</v>
      </c>
      <c r="E37" s="4">
        <v>2500</v>
      </c>
    </row>
    <row r="38" spans="1:8" x14ac:dyDescent="0.25">
      <c r="A38" s="4">
        <v>1900</v>
      </c>
      <c r="B38" s="4">
        <v>12</v>
      </c>
      <c r="E38" s="4">
        <v>800</v>
      </c>
    </row>
    <row r="39" spans="1:8" x14ac:dyDescent="0.25">
      <c r="A39" s="4">
        <v>-260</v>
      </c>
      <c r="E39" s="4">
        <f>SUM(E35:E38)</f>
        <v>5900</v>
      </c>
    </row>
    <row r="40" spans="1:8" x14ac:dyDescent="0.25">
      <c r="A40" s="4">
        <f>SUM(A38:A39)</f>
        <v>1640</v>
      </c>
    </row>
    <row r="42" spans="1:8" x14ac:dyDescent="0.25">
      <c r="B42" s="3">
        <v>1453.33</v>
      </c>
    </row>
    <row r="43" spans="1:8" x14ac:dyDescent="0.25">
      <c r="B43" s="4">
        <v>-3123.55</v>
      </c>
    </row>
    <row r="44" spans="1:8" x14ac:dyDescent="0.25">
      <c r="B44" s="4">
        <f>SUM(B42:B43)</f>
        <v>-1670.2200000000003</v>
      </c>
    </row>
    <row r="45" spans="1:8" x14ac:dyDescent="0.25">
      <c r="A45" s="5" t="s">
        <v>105</v>
      </c>
    </row>
    <row r="46" spans="1:8" x14ac:dyDescent="0.25">
      <c r="A46" s="4" t="s">
        <v>106</v>
      </c>
      <c r="B46" s="35">
        <f>100*B32</f>
        <v>272</v>
      </c>
    </row>
    <row r="47" spans="1:8" s="3" customFormat="1" x14ac:dyDescent="0.25">
      <c r="A47" s="3" t="s">
        <v>107</v>
      </c>
      <c r="B47" s="3">
        <f>150*B32</f>
        <v>408.00000000000006</v>
      </c>
      <c r="D47" s="3">
        <f>B47</f>
        <v>408.00000000000006</v>
      </c>
    </row>
    <row r="48" spans="1:8" s="3" customFormat="1" x14ac:dyDescent="0.25">
      <c r="A48" s="3" t="s">
        <v>108</v>
      </c>
      <c r="B48" s="3">
        <v>500</v>
      </c>
      <c r="D48" s="3">
        <v>500</v>
      </c>
    </row>
    <row r="49" spans="1:4" s="3" customFormat="1" x14ac:dyDescent="0.25">
      <c r="A49" s="3" t="s">
        <v>109</v>
      </c>
      <c r="B49" s="3">
        <v>150</v>
      </c>
      <c r="D49" s="3">
        <v>150</v>
      </c>
    </row>
    <row r="50" spans="1:4" ht="14.25" customHeight="1" x14ac:dyDescent="0.25">
      <c r="A50" s="4" t="s">
        <v>110</v>
      </c>
      <c r="B50" s="4">
        <v>120</v>
      </c>
    </row>
    <row r="52" spans="1:4" x14ac:dyDescent="0.25">
      <c r="B52" s="4">
        <f>SUM(B46:B51)</f>
        <v>1450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workbookViewId="0">
      <selection activeCell="D19" sqref="D1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58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v>500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B10</f>
        <v>135</v>
      </c>
    </row>
    <row r="11" spans="1:10" s="3" customFormat="1" x14ac:dyDescent="0.25">
      <c r="A11" s="16" t="s">
        <v>17</v>
      </c>
      <c r="B11" s="16">
        <v>10</v>
      </c>
      <c r="C11" s="16"/>
      <c r="D11" s="16">
        <f>10</f>
        <v>10</v>
      </c>
      <c r="J11" s="5"/>
    </row>
    <row r="12" spans="1:10" s="3" customFormat="1" x14ac:dyDescent="0.25">
      <c r="A12" s="16" t="s">
        <v>26</v>
      </c>
      <c r="B12" s="16">
        <f>J34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100*B38</f>
        <v>272</v>
      </c>
      <c r="C13" s="16"/>
      <c r="D13" s="16">
        <f>B13</f>
        <v>272</v>
      </c>
      <c r="J13" s="5"/>
    </row>
    <row r="14" spans="1:10" s="3" customFormat="1" x14ac:dyDescent="0.25">
      <c r="A14" s="16" t="s">
        <v>27</v>
      </c>
      <c r="B14" s="16">
        <f>66.1*B38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I17" s="3">
        <v>3248</v>
      </c>
      <c r="J17" s="5"/>
      <c r="K17" s="3">
        <v>1360</v>
      </c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>
        <f>SUM(I17:K17)</f>
        <v>4608</v>
      </c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95</v>
      </c>
      <c r="B21" s="16">
        <v>200</v>
      </c>
      <c r="C21" s="16"/>
      <c r="D21" s="16">
        <f>B21</f>
        <v>200</v>
      </c>
    </row>
    <row r="22" spans="1:11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1" s="3" customFormat="1" x14ac:dyDescent="0.25">
      <c r="A23" s="20" t="s">
        <v>111</v>
      </c>
      <c r="B23" s="16">
        <v>100</v>
      </c>
      <c r="C23" s="16"/>
      <c r="D23" s="16">
        <v>100</v>
      </c>
      <c r="F23" s="3">
        <v>261</v>
      </c>
    </row>
    <row r="24" spans="1:11" s="3" customFormat="1" x14ac:dyDescent="0.25">
      <c r="A24" s="20" t="s">
        <v>103</v>
      </c>
      <c r="B24" s="16">
        <v>30</v>
      </c>
      <c r="C24" s="16"/>
      <c r="D24" s="16">
        <v>30</v>
      </c>
      <c r="F24" s="3">
        <v>260</v>
      </c>
    </row>
    <row r="25" spans="1:11" s="3" customFormat="1" x14ac:dyDescent="0.25">
      <c r="A25" s="20" t="s">
        <v>112</v>
      </c>
      <c r="B25" s="16">
        <v>200</v>
      </c>
      <c r="C25" s="16"/>
      <c r="D25" s="16">
        <v>200</v>
      </c>
      <c r="F25" s="37">
        <f>SUM(F23:F24)</f>
        <v>521</v>
      </c>
    </row>
    <row r="26" spans="1:11" s="3" customFormat="1" x14ac:dyDescent="0.25">
      <c r="A26" s="20" t="s">
        <v>113</v>
      </c>
      <c r="B26" s="16">
        <f>100*B38</f>
        <v>272</v>
      </c>
      <c r="C26" s="16"/>
      <c r="D26" s="16">
        <f>B26</f>
        <v>272</v>
      </c>
    </row>
    <row r="27" spans="1:11" s="3" customFormat="1" x14ac:dyDescent="0.25">
      <c r="A27" s="20" t="s">
        <v>115</v>
      </c>
      <c r="B27" s="16">
        <v>100</v>
      </c>
      <c r="C27" s="16"/>
      <c r="D27" s="16">
        <v>100</v>
      </c>
    </row>
    <row r="28" spans="1:11" s="3" customFormat="1" x14ac:dyDescent="0.25">
      <c r="A28" s="20" t="s">
        <v>116</v>
      </c>
      <c r="B28" s="16">
        <v>30</v>
      </c>
      <c r="C28" s="16"/>
      <c r="D28" s="16">
        <v>30</v>
      </c>
    </row>
    <row r="29" spans="1:11" s="3" customFormat="1" x14ac:dyDescent="0.25">
      <c r="A29" s="20" t="s">
        <v>117</v>
      </c>
      <c r="B29" s="16">
        <v>250</v>
      </c>
      <c r="C29" s="16"/>
      <c r="D29" s="16">
        <f>B29</f>
        <v>250</v>
      </c>
    </row>
    <row r="30" spans="1:11" s="3" customFormat="1" x14ac:dyDescent="0.25">
      <c r="A30" s="20" t="s">
        <v>114</v>
      </c>
      <c r="B30" s="16">
        <f>30*B38</f>
        <v>81.600000000000009</v>
      </c>
      <c r="C30" s="16"/>
      <c r="D30" s="16">
        <f>B30</f>
        <v>81.600000000000009</v>
      </c>
    </row>
    <row r="31" spans="1:11" x14ac:dyDescent="0.25">
      <c r="A31" s="22"/>
      <c r="B31" s="13"/>
      <c r="C31" s="13"/>
      <c r="D31" s="13"/>
    </row>
    <row r="32" spans="1:11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4321.7788790000004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99.999999999999091</v>
      </c>
      <c r="D34" s="7">
        <f>B34+F39</f>
        <v>276.22112099999958</v>
      </c>
      <c r="E34" s="4">
        <f>SUM(B5:B8)</f>
        <v>585</v>
      </c>
      <c r="F34" s="4">
        <f>SUM(B5:B8)+SUM(B12:B12)</f>
        <v>910.52687900000001</v>
      </c>
      <c r="H34" s="4">
        <v>15013</v>
      </c>
      <c r="I34" s="4">
        <f>B12/2.8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F35" s="4">
        <f>SUM(B12)</f>
        <v>325.52687900000001</v>
      </c>
      <c r="H35" s="4">
        <v>4987</v>
      </c>
      <c r="J35" s="7"/>
    </row>
    <row r="36" spans="1:11" ht="15.75" x14ac:dyDescent="0.25">
      <c r="A36" s="4" t="s">
        <v>20</v>
      </c>
      <c r="B36" s="14">
        <f>SUM(B2:B19)+SUM(B21:B30)</f>
        <v>4421.7788789999995</v>
      </c>
      <c r="C36" s="14">
        <f>B36/B38</f>
        <v>1625.6539996323527</v>
      </c>
      <c r="D36" s="14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4421.7788789999995</v>
      </c>
      <c r="E37" s="26"/>
    </row>
    <row r="38" spans="1:11" x14ac:dyDescent="0.25">
      <c r="A38" s="7"/>
      <c r="B38" s="4">
        <f>2.72</f>
        <v>2.72</v>
      </c>
      <c r="C38" s="4">
        <f>C36-C37</f>
        <v>1625.6539996323527</v>
      </c>
      <c r="E38" s="7"/>
      <c r="F38" s="7" t="s">
        <v>78</v>
      </c>
    </row>
    <row r="39" spans="1:11" x14ac:dyDescent="0.25">
      <c r="B39" s="4">
        <f>SUM(B2:B15)</f>
        <v>2578.0788790000001</v>
      </c>
      <c r="E39" s="7"/>
      <c r="F39" s="5">
        <f>(3248+1360-10)-B36</f>
        <v>176.22112100000049</v>
      </c>
      <c r="G39" s="4">
        <f>(4640)-B36</f>
        <v>218.22112100000049</v>
      </c>
    </row>
    <row r="40" spans="1:11" x14ac:dyDescent="0.25">
      <c r="B40" s="4">
        <f>B39/B38</f>
        <v>947.8231172794118</v>
      </c>
      <c r="F40" s="7">
        <f>F39/B38</f>
        <v>64.787176838235467</v>
      </c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29" sqref="A2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0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640</v>
      </c>
      <c r="C2" s="16"/>
      <c r="D2" s="16">
        <f>B2</f>
        <v>640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158+B35</f>
        <v>160.72</v>
      </c>
      <c r="C4" s="16"/>
      <c r="D4" s="16">
        <v>160.72</v>
      </c>
      <c r="F4" s="5">
        <f>SUM(B5:B9)+SUM(B13:B14)+B22+B25+700</f>
        <v>2236.526879</v>
      </c>
      <c r="G4" s="5">
        <f>-1500</f>
        <v>-1500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F5" s="3">
        <f>+SUM(B13:B14)-32</f>
        <v>565.52687900000001</v>
      </c>
      <c r="G5" s="3">
        <f>SUM(F4:G4)</f>
        <v>736.52687900000001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F6" s="3">
        <f>SUM(B5:B8)</f>
        <v>585</v>
      </c>
      <c r="G6" s="3">
        <v>740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F7" s="3">
        <f>32*4</f>
        <v>128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ref="D10:D20" si="1">B10</f>
        <v>130.76</v>
      </c>
    </row>
    <row r="11" spans="1:10" s="3" customFormat="1" x14ac:dyDescent="0.25">
      <c r="A11" s="16" t="s">
        <v>94</v>
      </c>
      <c r="B11" s="16">
        <f>152.46+35</f>
        <v>187.46</v>
      </c>
      <c r="C11" s="16"/>
      <c r="D11" s="16">
        <f t="shared" si="1"/>
        <v>187.46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 t="shared" si="1"/>
        <v>325.52687900000001</v>
      </c>
      <c r="J13" s="5"/>
    </row>
    <row r="14" spans="1:10" s="3" customFormat="1" x14ac:dyDescent="0.25">
      <c r="A14" s="16" t="s">
        <v>101</v>
      </c>
      <c r="B14" s="16">
        <f>100*B35</f>
        <v>272</v>
      </c>
      <c r="C14" s="16"/>
      <c r="D14" s="16">
        <f t="shared" si="1"/>
        <v>272</v>
      </c>
      <c r="J14" s="5"/>
    </row>
    <row r="15" spans="1:10" s="3" customFormat="1" x14ac:dyDescent="0.25">
      <c r="A15" s="16" t="s">
        <v>27</v>
      </c>
      <c r="B15" s="16">
        <f>66.1*B35</f>
        <v>179.792</v>
      </c>
      <c r="C15" s="16"/>
      <c r="D15" s="16">
        <f t="shared" si="1"/>
        <v>179.792</v>
      </c>
      <c r="E15" s="3">
        <f>B15*2</f>
        <v>359.584</v>
      </c>
      <c r="J15" s="5"/>
    </row>
    <row r="16" spans="1:10" s="3" customFormat="1" x14ac:dyDescent="0.25">
      <c r="A16" s="16" t="s">
        <v>32</v>
      </c>
      <c r="B16" s="16">
        <v>100</v>
      </c>
      <c r="C16" s="16"/>
      <c r="D16" s="16">
        <f t="shared" si="1"/>
        <v>100</v>
      </c>
      <c r="J16" s="5"/>
    </row>
    <row r="17" spans="1:11" s="3" customFormat="1" x14ac:dyDescent="0.25">
      <c r="A17" s="16" t="s">
        <v>84</v>
      </c>
      <c r="B17" s="16">
        <v>100</v>
      </c>
      <c r="C17" s="16"/>
      <c r="D17" s="16">
        <f t="shared" si="1"/>
        <v>100</v>
      </c>
      <c r="F17" s="3" t="s">
        <v>136</v>
      </c>
      <c r="J17" s="5"/>
    </row>
    <row r="18" spans="1:11" s="3" customFormat="1" x14ac:dyDescent="0.25">
      <c r="A18" s="16" t="s">
        <v>79</v>
      </c>
      <c r="B18" s="16">
        <f>20*8.5</f>
        <v>170</v>
      </c>
      <c r="C18" s="16"/>
      <c r="D18" s="16">
        <f t="shared" si="1"/>
        <v>170</v>
      </c>
      <c r="F18" s="3" t="s">
        <v>137</v>
      </c>
      <c r="I18" s="3">
        <v>3248</v>
      </c>
      <c r="J18" s="5"/>
      <c r="K18" s="3">
        <v>1360</v>
      </c>
    </row>
    <row r="19" spans="1:11" s="3" customFormat="1" x14ac:dyDescent="0.25">
      <c r="A19" s="16" t="s">
        <v>87</v>
      </c>
      <c r="B19" s="16">
        <f>20*(2+0.7+1.5+1.5+0.8+0.7)</f>
        <v>144</v>
      </c>
      <c r="C19" s="16"/>
      <c r="D19" s="16">
        <f t="shared" si="1"/>
        <v>144</v>
      </c>
      <c r="J19" s="5">
        <f>SUM(I18:K18)</f>
        <v>4608</v>
      </c>
    </row>
    <row r="20" spans="1:11" s="3" customFormat="1" x14ac:dyDescent="0.25">
      <c r="A20" s="16" t="s">
        <v>89</v>
      </c>
      <c r="B20" s="16">
        <f>(1.5+1.5)*20</f>
        <v>60</v>
      </c>
      <c r="C20" s="16"/>
      <c r="D20" s="16">
        <f t="shared" si="1"/>
        <v>60</v>
      </c>
      <c r="J20" s="5"/>
    </row>
    <row r="21" spans="1:11" x14ac:dyDescent="0.25">
      <c r="A21" s="23" t="s">
        <v>61</v>
      </c>
      <c r="B21" s="13"/>
      <c r="C21" s="13"/>
      <c r="D21" s="13">
        <v>0</v>
      </c>
    </row>
    <row r="22" spans="1:11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1" s="3" customFormat="1" x14ac:dyDescent="0.25">
      <c r="A23" s="20" t="s">
        <v>103</v>
      </c>
      <c r="B23" s="16">
        <v>40</v>
      </c>
      <c r="C23" s="16"/>
      <c r="D23" s="16">
        <f>40</f>
        <v>40</v>
      </c>
      <c r="F23" s="3">
        <v>260</v>
      </c>
    </row>
    <row r="24" spans="1:11" s="3" customFormat="1" x14ac:dyDescent="0.25">
      <c r="A24" s="20" t="s">
        <v>112</v>
      </c>
      <c r="B24" s="16">
        <v>200</v>
      </c>
      <c r="C24" s="16"/>
      <c r="D24" s="16">
        <f>B24</f>
        <v>200</v>
      </c>
      <c r="F24" s="37">
        <f>SUM(F23:F23)</f>
        <v>260</v>
      </c>
    </row>
    <row r="25" spans="1:11" s="3" customFormat="1" x14ac:dyDescent="0.25">
      <c r="A25" s="20" t="s">
        <v>113</v>
      </c>
      <c r="B25" s="16">
        <f>100*B35</f>
        <v>272</v>
      </c>
      <c r="C25" s="16"/>
      <c r="D25" s="16">
        <f>B25</f>
        <v>272</v>
      </c>
    </row>
    <row r="26" spans="1:11" s="3" customFormat="1" x14ac:dyDescent="0.25">
      <c r="A26" s="20" t="s">
        <v>119</v>
      </c>
      <c r="B26" s="16">
        <v>82.93</v>
      </c>
      <c r="C26" s="16"/>
      <c r="D26" s="16">
        <f>B26</f>
        <v>82.93</v>
      </c>
    </row>
    <row r="27" spans="1:11" s="3" customFormat="1" x14ac:dyDescent="0.25">
      <c r="A27" s="20" t="s">
        <v>120</v>
      </c>
      <c r="B27" s="16">
        <v>268</v>
      </c>
      <c r="C27" s="16"/>
      <c r="D27" s="16">
        <f>B27</f>
        <v>268</v>
      </c>
    </row>
    <row r="28" spans="1:11" s="3" customFormat="1" x14ac:dyDescent="0.25">
      <c r="A28" s="20" t="s">
        <v>144</v>
      </c>
      <c r="B28" s="16">
        <v>75</v>
      </c>
      <c r="C28" s="16"/>
      <c r="D28" s="16">
        <f>B28</f>
        <v>75</v>
      </c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SUM(D2:D28)</f>
        <v>4325.1888789999994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0</v>
      </c>
      <c r="D31" s="7">
        <f>B31+F36</f>
        <v>356.6711209999994</v>
      </c>
      <c r="E31" s="4">
        <f>SUM(B5:B8)</f>
        <v>585</v>
      </c>
      <c r="F31" s="4">
        <f>SUM(B5:B8)+SUM(B13:B13)</f>
        <v>910.52687900000001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F32" s="4">
        <f>SUM(B13)</f>
        <v>325.52687900000001</v>
      </c>
      <c r="H32" s="4">
        <v>4987</v>
      </c>
      <c r="J32" s="7"/>
    </row>
    <row r="33" spans="1:10" ht="15.75" x14ac:dyDescent="0.25">
      <c r="A33" s="4" t="s">
        <v>20</v>
      </c>
      <c r="B33" s="14">
        <f>SUM(B2:B20)+SUM(B22:B28)</f>
        <v>4325.1888790000003</v>
      </c>
      <c r="C33" s="14">
        <f>B33/B35</f>
        <v>1590.1429702205883</v>
      </c>
      <c r="D33" s="14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4325.1888790000003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3244.86+1360</f>
        <v>4604.8600000000006</v>
      </c>
    </row>
    <row r="36" spans="1:10" x14ac:dyDescent="0.25">
      <c r="E36" s="7"/>
      <c r="F36" s="5">
        <f>(4681.86)-B33</f>
        <v>356.6711209999994</v>
      </c>
    </row>
    <row r="37" spans="1:10" x14ac:dyDescent="0.25">
      <c r="F37" s="7">
        <f>F36/B35</f>
        <v>131.12908860294095</v>
      </c>
    </row>
    <row r="38" spans="1:10" x14ac:dyDescent="0.25">
      <c r="D38" s="4">
        <v>-3800</v>
      </c>
      <c r="E38" s="4">
        <v>100</v>
      </c>
      <c r="G38" s="7"/>
    </row>
    <row r="39" spans="1:10" x14ac:dyDescent="0.25">
      <c r="C39" s="28"/>
      <c r="D39" s="4">
        <v>6377</v>
      </c>
      <c r="E39" s="4">
        <v>2500</v>
      </c>
    </row>
    <row r="40" spans="1:10" x14ac:dyDescent="0.25">
      <c r="D40" s="4">
        <f>SUM(D38:D39)</f>
        <v>2577</v>
      </c>
      <c r="E40" s="4">
        <v>2500</v>
      </c>
    </row>
    <row r="41" spans="1:10" x14ac:dyDescent="0.25">
      <c r="E41" s="4">
        <v>800</v>
      </c>
    </row>
    <row r="42" spans="1:10" x14ac:dyDescent="0.25">
      <c r="E42" s="4">
        <f>SUM(E38:E41)</f>
        <v>5900</v>
      </c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7"/>
  <sheetViews>
    <sheetView workbookViewId="0">
      <selection activeCell="E38" sqref="E38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121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122</v>
      </c>
      <c r="B2" s="16">
        <v>3240</v>
      </c>
      <c r="C2" s="16"/>
      <c r="D2" s="16">
        <f>B2</f>
        <v>3240</v>
      </c>
      <c r="J2" s="24"/>
    </row>
    <row r="3" spans="1:10" s="3" customFormat="1" x14ac:dyDescent="0.25">
      <c r="A3" s="16" t="s">
        <v>141</v>
      </c>
      <c r="B3" s="16">
        <v>3000</v>
      </c>
      <c r="C3" s="16"/>
      <c r="D3" s="16">
        <f>B3</f>
        <v>3000</v>
      </c>
      <c r="J3" s="24"/>
    </row>
    <row r="4" spans="1:10" s="3" customFormat="1" x14ac:dyDescent="0.25">
      <c r="A4" s="16" t="s">
        <v>127</v>
      </c>
      <c r="B4" s="16">
        <v>1768</v>
      </c>
      <c r="C4" s="16"/>
      <c r="D4" s="16">
        <f>B4</f>
        <v>1768</v>
      </c>
    </row>
    <row r="5" spans="1:10" x14ac:dyDescent="0.25">
      <c r="A5" s="13" t="s">
        <v>123</v>
      </c>
      <c r="C5" s="13"/>
      <c r="D5" s="13">
        <v>0</v>
      </c>
      <c r="E5" s="13">
        <f>200*B33</f>
        <v>544</v>
      </c>
      <c r="J5" s="7"/>
    </row>
    <row r="6" spans="1:10" s="3" customFormat="1" x14ac:dyDescent="0.25">
      <c r="A6" s="16" t="s">
        <v>124</v>
      </c>
      <c r="B6" s="16">
        <v>540</v>
      </c>
      <c r="C6" s="16"/>
      <c r="D6" s="16">
        <v>540</v>
      </c>
      <c r="J6" s="5"/>
    </row>
    <row r="7" spans="1:10" s="3" customFormat="1" x14ac:dyDescent="0.25">
      <c r="A7" s="16" t="s">
        <v>125</v>
      </c>
      <c r="B7" s="16">
        <f>350+138.81</f>
        <v>488.81</v>
      </c>
      <c r="C7" s="16"/>
      <c r="D7" s="16">
        <f>B7</f>
        <v>488.81</v>
      </c>
      <c r="E7" s="16">
        <v>700</v>
      </c>
      <c r="J7" s="5"/>
    </row>
    <row r="8" spans="1:10" x14ac:dyDescent="0.25">
      <c r="A8" s="13" t="s">
        <v>126</v>
      </c>
      <c r="C8" s="13"/>
      <c r="D8" s="13">
        <v>0</v>
      </c>
      <c r="E8" s="13">
        <f>600*B33</f>
        <v>1632.0000000000002</v>
      </c>
      <c r="J8" s="7"/>
    </row>
    <row r="9" spans="1:10" s="3" customFormat="1" x14ac:dyDescent="0.25">
      <c r="A9" s="16" t="s">
        <v>129</v>
      </c>
      <c r="B9" s="3">
        <v>170</v>
      </c>
      <c r="C9" s="16"/>
      <c r="D9" s="16">
        <f>B9</f>
        <v>170</v>
      </c>
      <c r="E9" s="16"/>
      <c r="J9" s="5"/>
    </row>
    <row r="10" spans="1:10" s="3" customFormat="1" x14ac:dyDescent="0.25">
      <c r="A10" s="16" t="s">
        <v>130</v>
      </c>
      <c r="B10" s="3">
        <v>669</v>
      </c>
      <c r="C10" s="16"/>
      <c r="D10" s="16">
        <f>B10</f>
        <v>669</v>
      </c>
      <c r="E10" s="16"/>
      <c r="J10" s="5"/>
    </row>
    <row r="11" spans="1:10" x14ac:dyDescent="0.25">
      <c r="A11" s="13" t="s">
        <v>131</v>
      </c>
      <c r="C11" s="13"/>
      <c r="D11" s="13"/>
      <c r="E11" s="13"/>
      <c r="F11" s="4">
        <f>SUM(D9:D10)</f>
        <v>839</v>
      </c>
      <c r="J11" s="7"/>
    </row>
    <row r="12" spans="1:10" x14ac:dyDescent="0.25">
      <c r="A12" s="13" t="s">
        <v>132</v>
      </c>
      <c r="C12" s="13"/>
      <c r="D12" s="13"/>
      <c r="E12" s="13"/>
      <c r="J12" s="7"/>
    </row>
    <row r="13" spans="1:10" x14ac:dyDescent="0.25">
      <c r="A13" s="13" t="s">
        <v>54</v>
      </c>
      <c r="C13" s="13"/>
      <c r="D13" s="13"/>
      <c r="E13" s="13"/>
      <c r="J13" s="7"/>
    </row>
    <row r="14" spans="1:10" x14ac:dyDescent="0.25">
      <c r="A14" s="13" t="s">
        <v>133</v>
      </c>
      <c r="C14" s="13"/>
      <c r="D14" s="13"/>
      <c r="E14" s="13"/>
      <c r="J14" s="7"/>
    </row>
    <row r="15" spans="1:10" x14ac:dyDescent="0.25">
      <c r="A15" s="13" t="s">
        <v>134</v>
      </c>
      <c r="C15" s="13"/>
      <c r="D15" s="13"/>
      <c r="E15" s="13"/>
      <c r="J15" s="7"/>
    </row>
    <row r="16" spans="1:10" s="3" customFormat="1" x14ac:dyDescent="0.25">
      <c r="A16" s="16" t="s">
        <v>135</v>
      </c>
      <c r="B16" s="3">
        <v>150</v>
      </c>
      <c r="C16" s="16"/>
      <c r="D16" s="16">
        <f>B16</f>
        <v>150</v>
      </c>
      <c r="E16" s="16"/>
      <c r="J16" s="5"/>
    </row>
    <row r="17" spans="1:11" s="3" customFormat="1" x14ac:dyDescent="0.25">
      <c r="A17" s="16" t="s">
        <v>139</v>
      </c>
      <c r="B17" s="3">
        <v>70</v>
      </c>
      <c r="C17" s="16"/>
      <c r="D17" s="16">
        <v>70</v>
      </c>
      <c r="E17" s="16"/>
      <c r="J17" s="5"/>
    </row>
    <row r="18" spans="1:11" x14ac:dyDescent="0.25">
      <c r="A18" s="13" t="s">
        <v>138</v>
      </c>
      <c r="C18" s="13"/>
      <c r="D18" s="13"/>
      <c r="E18" s="13"/>
      <c r="J18" s="7"/>
    </row>
    <row r="19" spans="1:11" s="3" customFormat="1" x14ac:dyDescent="0.25">
      <c r="A19" s="16" t="s">
        <v>140</v>
      </c>
      <c r="B19" s="3">
        <v>56.15</v>
      </c>
      <c r="C19" s="16"/>
      <c r="D19" s="16">
        <f>B19</f>
        <v>56.15</v>
      </c>
      <c r="E19" s="16"/>
      <c r="J19" s="5"/>
    </row>
    <row r="20" spans="1:11" s="3" customFormat="1" x14ac:dyDescent="0.25">
      <c r="A20" s="16" t="s">
        <v>142</v>
      </c>
      <c r="B20" s="3">
        <v>224</v>
      </c>
      <c r="C20" s="16"/>
      <c r="D20" s="16">
        <f>B20</f>
        <v>224</v>
      </c>
      <c r="E20" s="16"/>
      <c r="J20" s="5"/>
    </row>
    <row r="21" spans="1:11" s="3" customFormat="1" x14ac:dyDescent="0.25">
      <c r="A21" s="16" t="s">
        <v>85</v>
      </c>
      <c r="B21" s="3">
        <v>284</v>
      </c>
      <c r="C21" s="16"/>
      <c r="D21" s="16">
        <v>284</v>
      </c>
      <c r="E21" s="16"/>
      <c r="J21" s="5"/>
    </row>
    <row r="22" spans="1:11" s="37" customFormat="1" x14ac:dyDescent="0.25">
      <c r="A22" s="40" t="s">
        <v>143</v>
      </c>
      <c r="B22" s="41">
        <v>100</v>
      </c>
      <c r="C22" s="40"/>
      <c r="D22" s="40">
        <v>100</v>
      </c>
      <c r="E22" s="38"/>
      <c r="J22" s="39"/>
    </row>
    <row r="23" spans="1:11" s="37" customFormat="1" x14ac:dyDescent="0.25">
      <c r="A23" s="16" t="s">
        <v>146</v>
      </c>
      <c r="B23" s="41">
        <v>40</v>
      </c>
      <c r="C23" s="40"/>
      <c r="D23" s="40">
        <v>40</v>
      </c>
      <c r="E23" s="38"/>
      <c r="J23" s="39"/>
    </row>
    <row r="24" spans="1:11" s="37" customFormat="1" x14ac:dyDescent="0.25">
      <c r="A24" s="40" t="s">
        <v>145</v>
      </c>
      <c r="B24" s="41">
        <v>134</v>
      </c>
      <c r="C24" s="40"/>
      <c r="D24" s="40">
        <v>134</v>
      </c>
      <c r="E24" s="38"/>
      <c r="J24" s="39"/>
    </row>
    <row r="25" spans="1:11" s="37" customFormat="1" x14ac:dyDescent="0.25">
      <c r="A25" s="38"/>
      <c r="C25" s="38"/>
      <c r="D25" s="38"/>
      <c r="E25" s="38"/>
      <c r="J25" s="39"/>
    </row>
    <row r="26" spans="1:11" x14ac:dyDescent="0.25">
      <c r="A26" s="13"/>
      <c r="C26" s="13"/>
      <c r="D26" s="13"/>
      <c r="E26" s="13"/>
      <c r="J26" s="7"/>
    </row>
    <row r="27" spans="1:11" x14ac:dyDescent="0.25">
      <c r="D27" s="13">
        <v>0</v>
      </c>
      <c r="J27" s="7"/>
    </row>
    <row r="28" spans="1:11" x14ac:dyDescent="0.25">
      <c r="A28" s="4" t="s">
        <v>31</v>
      </c>
      <c r="B28" s="4">
        <f>SUM(D2:D26)</f>
        <v>10933.96</v>
      </c>
      <c r="D28" s="13">
        <v>0</v>
      </c>
      <c r="J28" s="7" t="s">
        <v>34</v>
      </c>
    </row>
    <row r="29" spans="1:11" x14ac:dyDescent="0.25">
      <c r="A29" s="4" t="s">
        <v>24</v>
      </c>
      <c r="B29" s="26">
        <f>B31-B28</f>
        <v>0</v>
      </c>
      <c r="D29" s="5">
        <f>B29+F34</f>
        <v>4066.0400000000009</v>
      </c>
      <c r="F29" s="4" t="e">
        <f>SUM(#REF!)+SUM(E5:E5)</f>
        <v>#REF!</v>
      </c>
      <c r="H29" s="4">
        <v>15013</v>
      </c>
      <c r="I29" s="4">
        <f>E5/2.8</f>
        <v>194.28571428571431</v>
      </c>
      <c r="J29" s="7">
        <f>433.66*(H29)/(H29+H30)</f>
        <v>325.52687900000001</v>
      </c>
      <c r="K29" s="7">
        <f>(H29)/(H29+H30)</f>
        <v>0.75065000000000004</v>
      </c>
    </row>
    <row r="30" spans="1:11" x14ac:dyDescent="0.25">
      <c r="F30" s="4">
        <f>SUM(E5)</f>
        <v>544</v>
      </c>
      <c r="H30" s="4">
        <v>4987</v>
      </c>
      <c r="J30" s="7"/>
    </row>
    <row r="31" spans="1:11" ht="15.75" x14ac:dyDescent="0.25">
      <c r="A31" s="4" t="s">
        <v>20</v>
      </c>
      <c r="B31" s="14">
        <f>SUM(B2:B27)</f>
        <v>10933.96</v>
      </c>
      <c r="C31" s="14">
        <f>B31/B33</f>
        <v>4019.8382352941171</v>
      </c>
      <c r="D31" s="14"/>
      <c r="H31" s="4">
        <f>SUM(H29:H30)</f>
        <v>20000</v>
      </c>
      <c r="J31" s="26">
        <f>2200/B33</f>
        <v>808.82352941176464</v>
      </c>
    </row>
    <row r="32" spans="1:11" x14ac:dyDescent="0.25">
      <c r="B32" s="4">
        <f>B31</f>
        <v>10933.96</v>
      </c>
      <c r="E32" s="26"/>
    </row>
    <row r="33" spans="1:9" x14ac:dyDescent="0.25">
      <c r="A33" s="7"/>
      <c r="B33" s="4">
        <f>2.72</f>
        <v>2.72</v>
      </c>
      <c r="C33" s="4">
        <f>C31-C32</f>
        <v>4019.8382352941171</v>
      </c>
      <c r="E33" s="7"/>
      <c r="F33" s="7" t="s">
        <v>78</v>
      </c>
      <c r="H33" s="4">
        <f>3244.86+1360</f>
        <v>4604.8600000000006</v>
      </c>
    </row>
    <row r="34" spans="1:9" x14ac:dyDescent="0.25">
      <c r="B34" s="4">
        <f>SUM(B2:B7)</f>
        <v>9036.81</v>
      </c>
      <c r="E34" s="7"/>
      <c r="F34" s="5">
        <f>(15000)-B31</f>
        <v>4066.0400000000009</v>
      </c>
    </row>
    <row r="35" spans="1:9" x14ac:dyDescent="0.25">
      <c r="B35" s="4">
        <f>B34/B33</f>
        <v>3322.3566176470586</v>
      </c>
      <c r="F35" s="7">
        <f>F34/B33</f>
        <v>1494.8676470588236</v>
      </c>
    </row>
    <row r="36" spans="1:9" x14ac:dyDescent="0.25">
      <c r="D36" s="4">
        <v>-3800</v>
      </c>
      <c r="E36" s="4">
        <v>100</v>
      </c>
      <c r="G36" s="7"/>
    </row>
    <row r="37" spans="1:9" x14ac:dyDescent="0.25">
      <c r="C37" s="28"/>
      <c r="D37" s="4">
        <v>6377</v>
      </c>
      <c r="E37" s="4">
        <v>2500</v>
      </c>
    </row>
    <row r="38" spans="1:9" x14ac:dyDescent="0.25">
      <c r="D38" s="4">
        <f>SUM(D36:D37)</f>
        <v>2577</v>
      </c>
      <c r="E38" s="4">
        <v>2500</v>
      </c>
      <c r="I38" s="4">
        <f>3*2.7</f>
        <v>8.1000000000000014</v>
      </c>
    </row>
    <row r="39" spans="1:9" x14ac:dyDescent="0.25">
      <c r="E39" s="4">
        <v>800</v>
      </c>
    </row>
    <row r="40" spans="1:9" x14ac:dyDescent="0.25">
      <c r="E40" s="4">
        <f>SUM(E36:E39)</f>
        <v>5900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  <pageSetup paperSize="9" orientation="portrait" horizontalDpi="0" verticalDpi="0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B7" sqref="B7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800</v>
      </c>
      <c r="C2" s="16"/>
      <c r="D2" s="16">
        <f>200+200+30+160+30+180</f>
        <v>800</v>
      </c>
      <c r="F2" s="3">
        <v>150</v>
      </c>
      <c r="G2" s="3">
        <v>150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>
        <v>150</v>
      </c>
      <c r="H3" s="3">
        <v>-700</v>
      </c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G6" s="3">
        <f>SUM(B5:B8)</f>
        <v>585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>B12</f>
        <v>10</v>
      </c>
      <c r="J12" s="5"/>
    </row>
    <row r="13" spans="1:10" s="3" customFormat="1" x14ac:dyDescent="0.25">
      <c r="A13" s="16" t="s">
        <v>26</v>
      </c>
      <c r="B13" s="16">
        <f>J32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33.24*B36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32+38+30</f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150</f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J17" s="5"/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>35+40+75+50</f>
        <v>200</v>
      </c>
      <c r="F23" s="37"/>
    </row>
    <row r="24" spans="1:11" s="3" customFormat="1" x14ac:dyDescent="0.25">
      <c r="A24" s="16" t="s">
        <v>101</v>
      </c>
      <c r="B24" s="16">
        <f>100*B36</f>
        <v>272</v>
      </c>
      <c r="C24" s="16"/>
      <c r="D24" s="16">
        <f>B24</f>
        <v>272</v>
      </c>
      <c r="J24" s="5"/>
    </row>
    <row r="25" spans="1:11" s="3" customFormat="1" x14ac:dyDescent="0.25">
      <c r="A25" s="16" t="s">
        <v>149</v>
      </c>
      <c r="B25" s="16">
        <v>500</v>
      </c>
      <c r="C25" s="16"/>
      <c r="D25" s="16">
        <f>B25</f>
        <v>500</v>
      </c>
      <c r="J25" s="5"/>
    </row>
    <row r="26" spans="1:11" s="3" customFormat="1" x14ac:dyDescent="0.25">
      <c r="A26" s="16" t="s">
        <v>150</v>
      </c>
      <c r="B26" s="16">
        <v>300</v>
      </c>
      <c r="C26" s="16"/>
      <c r="D26" s="16">
        <f>B26</f>
        <v>300</v>
      </c>
      <c r="J26" s="5"/>
    </row>
    <row r="27" spans="1:11" s="3" customFormat="1" x14ac:dyDescent="0.25">
      <c r="A27" s="16" t="s">
        <v>151</v>
      </c>
      <c r="B27" s="16">
        <v>100</v>
      </c>
      <c r="C27" s="16"/>
      <c r="D27" s="16">
        <f>B27</f>
        <v>100</v>
      </c>
      <c r="J27" s="5"/>
    </row>
    <row r="28" spans="1:11" s="3" customFormat="1" x14ac:dyDescent="0.25">
      <c r="A28" s="42"/>
      <c r="B28" s="16"/>
      <c r="C28" s="16"/>
      <c r="D28" s="16"/>
      <c r="J28" s="5"/>
    </row>
    <row r="29" spans="1:11" s="3" customFormat="1" x14ac:dyDescent="0.25">
      <c r="A29" s="16" t="s">
        <v>147</v>
      </c>
      <c r="B29" s="16">
        <v>128.36000000000001</v>
      </c>
      <c r="C29" s="16"/>
      <c r="D29" s="16">
        <f>B29</f>
        <v>128.36000000000001</v>
      </c>
      <c r="J29" s="5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SUM(D2:D29)</f>
        <v>4619.1596789999994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0</v>
      </c>
      <c r="D32" s="7">
        <f>B32+F37</f>
        <v>75.980321000000004</v>
      </c>
      <c r="E32" s="4">
        <v>2818</v>
      </c>
      <c r="F32" s="4">
        <f>D32-E32</f>
        <v>-2742.019679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SUM(B2:B19)+SUM(B21:B29)</f>
        <v>4619.1596790000003</v>
      </c>
      <c r="C34" s="14">
        <f>B34/B36</f>
        <v>1698.2204702205881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4619.1596790000003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5">
        <f>(4695.14)-B34</f>
        <v>75.980321000000004</v>
      </c>
    </row>
    <row r="38" spans="1:10" x14ac:dyDescent="0.25">
      <c r="F38" s="7">
        <f>F37/B36</f>
        <v>27.933941544117648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8"/>
  <sheetViews>
    <sheetView workbookViewId="0">
      <selection activeCell="A6" sqref="A6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148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30+16*B34</f>
        <v>73.52000000000001</v>
      </c>
      <c r="C4" s="16"/>
      <c r="D4" s="16">
        <f>B4</f>
        <v>73.52000000000001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 t="shared" ref="D5:D8" si="0"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si="0"/>
        <v>150</v>
      </c>
      <c r="G6" s="3">
        <f>B13+B27</f>
        <v>597.52687900000001</v>
      </c>
      <c r="H6" s="3">
        <f>F6+G6+B14</f>
        <v>687.93967900000007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  <c r="G7" s="3">
        <v>-32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G8" s="3">
        <f>SUM(G6:G7)</f>
        <v>565.52687900000001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ref="D9:D19" si="1">B9</f>
        <v>32</v>
      </c>
      <c r="G9" s="3">
        <f>B9*4</f>
        <v>128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si="1"/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J30</f>
        <v>325.52687900000001</v>
      </c>
      <c r="C13" s="16"/>
      <c r="D13" s="16">
        <f t="shared" si="1"/>
        <v>325.52687900000001</v>
      </c>
      <c r="F13" s="3">
        <f>B4+B14</f>
        <v>163.93280000000004</v>
      </c>
      <c r="J13" s="5"/>
    </row>
    <row r="14" spans="1:10" s="3" customFormat="1" x14ac:dyDescent="0.25">
      <c r="A14" s="16" t="s">
        <v>27</v>
      </c>
      <c r="B14" s="16">
        <f>33.24*B34</f>
        <v>90.412800000000018</v>
      </c>
      <c r="C14" s="16"/>
      <c r="D14" s="16">
        <f t="shared" si="1"/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 t="shared" si="1"/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 t="shared" si="1"/>
        <v>195.5</v>
      </c>
      <c r="J17" s="5"/>
    </row>
    <row r="18" spans="1:11" s="3" customFormat="1" x14ac:dyDescent="0.25">
      <c r="A18" s="16" t="s">
        <v>87</v>
      </c>
      <c r="B18" s="16">
        <f>23*(6+1.5+1.5+0.7+0.5)</f>
        <v>234.6</v>
      </c>
      <c r="C18" s="16"/>
      <c r="D18" s="16">
        <f t="shared" si="1"/>
        <v>234.6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 t="shared" si="1"/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 t="shared" ref="D21:D27" si="2">B21</f>
        <v>50</v>
      </c>
    </row>
    <row r="22" spans="1:11" s="3" customFormat="1" x14ac:dyDescent="0.25">
      <c r="A22" s="20" t="s">
        <v>103</v>
      </c>
      <c r="B22" s="16">
        <v>30</v>
      </c>
      <c r="C22" s="16"/>
      <c r="D22" s="16">
        <f t="shared" si="2"/>
        <v>30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 t="shared" si="2"/>
        <v>200</v>
      </c>
      <c r="F23" s="37"/>
    </row>
    <row r="24" spans="1:11" s="3" customFormat="1" x14ac:dyDescent="0.25">
      <c r="A24" s="20" t="s">
        <v>152</v>
      </c>
      <c r="B24" s="16">
        <v>500</v>
      </c>
      <c r="C24" s="16"/>
      <c r="D24" s="16">
        <f t="shared" si="2"/>
        <v>500</v>
      </c>
      <c r="F24" s="37"/>
    </row>
    <row r="25" spans="1:11" s="3" customFormat="1" x14ac:dyDescent="0.25">
      <c r="A25" s="20" t="s">
        <v>153</v>
      </c>
      <c r="B25" s="16">
        <v>350</v>
      </c>
      <c r="C25" s="16"/>
      <c r="D25" s="16">
        <f t="shared" si="2"/>
        <v>350</v>
      </c>
      <c r="F25" s="37"/>
    </row>
    <row r="26" spans="1:11" s="3" customFormat="1" x14ac:dyDescent="0.25">
      <c r="A26" s="20" t="s">
        <v>154</v>
      </c>
      <c r="B26" s="16">
        <f>110*B34</f>
        <v>299.20000000000005</v>
      </c>
      <c r="C26" s="16"/>
      <c r="D26" s="16">
        <f t="shared" si="2"/>
        <v>299.20000000000005</v>
      </c>
      <c r="F26" s="37"/>
    </row>
    <row r="27" spans="1:11" s="3" customFormat="1" x14ac:dyDescent="0.25">
      <c r="A27" s="16" t="s">
        <v>101</v>
      </c>
      <c r="B27" s="16">
        <f>100*B34</f>
        <v>272</v>
      </c>
      <c r="C27" s="16"/>
      <c r="D27" s="16">
        <f t="shared" si="2"/>
        <v>272</v>
      </c>
      <c r="J27" s="5"/>
    </row>
    <row r="28" spans="1:11" x14ac:dyDescent="0.25">
      <c r="D28" s="13">
        <v>0</v>
      </c>
      <c r="J28" s="7"/>
    </row>
    <row r="29" spans="1:11" x14ac:dyDescent="0.25">
      <c r="A29" s="4" t="s">
        <v>31</v>
      </c>
      <c r="B29" s="4">
        <f>SUM(D2:D27)</f>
        <v>4502.519679</v>
      </c>
      <c r="D29" s="13">
        <v>0</v>
      </c>
      <c r="J29" s="7" t="s">
        <v>34</v>
      </c>
    </row>
    <row r="30" spans="1:11" x14ac:dyDescent="0.25">
      <c r="A30" s="4" t="s">
        <v>24</v>
      </c>
      <c r="B30" s="26">
        <f>B32-B29</f>
        <v>0</v>
      </c>
      <c r="D30" s="7">
        <f>B30+F35</f>
        <v>192.62032100000033</v>
      </c>
      <c r="E30" s="4">
        <v>2818</v>
      </c>
      <c r="F30" s="4">
        <f>D30-E30</f>
        <v>-2625.3796789999997</v>
      </c>
      <c r="H30" s="4">
        <v>15013</v>
      </c>
      <c r="I30" s="4">
        <f>B13/2.8</f>
        <v>116.25959964285715</v>
      </c>
      <c r="J30" s="7">
        <f>433.66*(H30)/(H30+H31)</f>
        <v>325.52687900000001</v>
      </c>
      <c r="K30" s="7">
        <f>(H30)/(H30+H31)</f>
        <v>0.75065000000000004</v>
      </c>
    </row>
    <row r="31" spans="1:11" x14ac:dyDescent="0.25">
      <c r="H31" s="4">
        <v>4987</v>
      </c>
      <c r="J31" s="7"/>
    </row>
    <row r="32" spans="1:11" ht="15.75" x14ac:dyDescent="0.25">
      <c r="A32" s="4" t="s">
        <v>20</v>
      </c>
      <c r="B32" s="14">
        <f>SUM(B2:B19)+SUM(B21:B27)</f>
        <v>4502.519679</v>
      </c>
      <c r="C32" s="14">
        <f>B32/B34</f>
        <v>1655.3381172794116</v>
      </c>
      <c r="D32" s="14"/>
      <c r="H32" s="4">
        <f>SUM(H30:H31)</f>
        <v>20000</v>
      </c>
      <c r="J32" s="26">
        <f>2200/B34</f>
        <v>808.82352941176464</v>
      </c>
    </row>
    <row r="33" spans="1:8" x14ac:dyDescent="0.25">
      <c r="B33" s="4">
        <f>B32</f>
        <v>4502.519679</v>
      </c>
      <c r="E33" s="26"/>
    </row>
    <row r="34" spans="1:8" x14ac:dyDescent="0.25">
      <c r="A34" s="7"/>
      <c r="B34" s="4">
        <f>2.72</f>
        <v>2.72</v>
      </c>
      <c r="E34" s="7"/>
      <c r="F34" s="7" t="s">
        <v>78</v>
      </c>
      <c r="H34" s="4">
        <f>H30/B34</f>
        <v>5519.4852941176468</v>
      </c>
    </row>
    <row r="35" spans="1:8" x14ac:dyDescent="0.25">
      <c r="E35" s="7"/>
      <c r="F35" s="7">
        <f>(4695.14)-B32</f>
        <v>192.62032100000033</v>
      </c>
      <c r="G35" s="7"/>
    </row>
    <row r="36" spans="1:8" x14ac:dyDescent="0.25">
      <c r="F36" s="7">
        <f>F35/B34</f>
        <v>70.816294485294236</v>
      </c>
      <c r="G36" s="7"/>
    </row>
    <row r="37" spans="1:8" x14ac:dyDescent="0.25">
      <c r="D37" s="4">
        <v>-3800</v>
      </c>
      <c r="E37" s="4">
        <v>100</v>
      </c>
      <c r="G37" s="7"/>
    </row>
    <row r="38" spans="1:8" x14ac:dyDescent="0.25">
      <c r="C38" s="28"/>
      <c r="D38" s="4">
        <v>6377</v>
      </c>
      <c r="E38" s="4">
        <v>2500</v>
      </c>
    </row>
    <row r="39" spans="1:8" x14ac:dyDescent="0.25">
      <c r="D39" s="4">
        <f>SUM(D37:D38)</f>
        <v>2577</v>
      </c>
      <c r="E39" s="4">
        <v>2500</v>
      </c>
    </row>
    <row r="40" spans="1:8" x14ac:dyDescent="0.25">
      <c r="E40" s="4">
        <v>800</v>
      </c>
    </row>
    <row r="41" spans="1:8" x14ac:dyDescent="0.25">
      <c r="E41" s="4">
        <f>SUM(E37:E40)</f>
        <v>5900</v>
      </c>
    </row>
    <row r="47" spans="1:8" x14ac:dyDescent="0.25">
      <c r="A47" s="7"/>
    </row>
    <row r="48" spans="1:8" x14ac:dyDescent="0.25">
      <c r="B48" s="26"/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12" sqref="A12:XFD12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155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400</v>
      </c>
      <c r="C2" s="13"/>
      <c r="D2" s="13">
        <v>60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30+16*B35</f>
        <v>73.52000000000001</v>
      </c>
      <c r="C4" s="16"/>
      <c r="D4" s="16">
        <f>B4</f>
        <v>73.52000000000001</v>
      </c>
      <c r="F4" s="5"/>
      <c r="G4" s="5">
        <f>SUM(B5:B9)</f>
        <v>647</v>
      </c>
      <c r="H4" s="3">
        <f>B13</f>
        <v>325.52687900000001</v>
      </c>
      <c r="I4" s="3">
        <f>G4+H4</f>
        <v>972.52687900000001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33.24*B35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B16</f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B17*(14/21)</f>
        <v>119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1">B18*(14/21)</f>
        <v>142.79999999999998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1"/>
        <v>42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x14ac:dyDescent="0.25">
      <c r="A23" s="22" t="s">
        <v>112</v>
      </c>
      <c r="B23" s="13">
        <v>200</v>
      </c>
      <c r="C23" s="13"/>
      <c r="D23" s="13">
        <v>100</v>
      </c>
      <c r="F23" s="26"/>
    </row>
    <row r="24" spans="1:11" s="3" customFormat="1" x14ac:dyDescent="0.25">
      <c r="A24" s="20" t="s">
        <v>156</v>
      </c>
      <c r="B24" s="16">
        <f>110*B35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158</v>
      </c>
      <c r="B25" s="16">
        <v>200</v>
      </c>
      <c r="C25" s="16"/>
      <c r="D25" s="16">
        <v>200</v>
      </c>
      <c r="F25" s="37"/>
    </row>
    <row r="26" spans="1:11" s="3" customFormat="1" x14ac:dyDescent="0.25">
      <c r="A26" s="20" t="s">
        <v>159</v>
      </c>
      <c r="B26" s="16">
        <v>100</v>
      </c>
      <c r="C26" s="16"/>
      <c r="D26" s="16">
        <f>B26</f>
        <v>100</v>
      </c>
      <c r="F26" s="37"/>
    </row>
    <row r="27" spans="1:11" s="3" customFormat="1" x14ac:dyDescent="0.25">
      <c r="A27" s="20" t="s">
        <v>157</v>
      </c>
      <c r="B27" s="16">
        <v>83.05</v>
      </c>
      <c r="C27" s="16"/>
      <c r="D27" s="16">
        <f>B27</f>
        <v>83.05</v>
      </c>
      <c r="F27" s="37"/>
    </row>
    <row r="28" spans="1:11" x14ac:dyDescent="0.25">
      <c r="A28" s="22"/>
      <c r="B28" s="13"/>
      <c r="C28" s="13"/>
      <c r="D28" s="13"/>
      <c r="F28" s="26"/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SUM(D2:D27)</f>
        <v>3138.269679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591.89999999999964</v>
      </c>
      <c r="D31" s="7">
        <f>B31+F36</f>
        <v>5814.2603209999997</v>
      </c>
      <c r="E31" s="4">
        <v>2818</v>
      </c>
      <c r="F31" s="4">
        <f>D31-E31</f>
        <v>2996.2603209999997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H32" s="4">
        <v>4987</v>
      </c>
      <c r="J32" s="7"/>
    </row>
    <row r="33" spans="1:10" ht="15.75" x14ac:dyDescent="0.25">
      <c r="A33" s="4" t="s">
        <v>20</v>
      </c>
      <c r="B33" s="14">
        <f>SUM(B2:B19)+SUM(B21:B29)</f>
        <v>3730.1696789999996</v>
      </c>
      <c r="C33" s="14">
        <f>B33/B35</f>
        <v>1371.3859113970586</v>
      </c>
      <c r="D33" s="14"/>
      <c r="F33" s="25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3730.1696789999996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H31/B35</f>
        <v>5519.4852941176468</v>
      </c>
    </row>
    <row r="36" spans="1:10" x14ac:dyDescent="0.25">
      <c r="E36" s="7"/>
      <c r="F36" s="7">
        <f>(4652.53)-B33+4300</f>
        <v>5222.3603210000001</v>
      </c>
      <c r="G36" s="7"/>
    </row>
    <row r="37" spans="1:10" x14ac:dyDescent="0.25">
      <c r="F37" s="7">
        <f>F36/B35</f>
        <v>1919.9854121323528</v>
      </c>
      <c r="G37" s="7"/>
    </row>
    <row r="38" spans="1:10" x14ac:dyDescent="0.25">
      <c r="G38" s="7"/>
    </row>
    <row r="39" spans="1:10" x14ac:dyDescent="0.25">
      <c r="C39" s="28"/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5"/>
  <sheetViews>
    <sheetView workbookViewId="0">
      <selection activeCell="E22" sqref="E22"/>
    </sheetView>
  </sheetViews>
  <sheetFormatPr baseColWidth="10" defaultColWidth="9.140625" defaultRowHeight="15" x14ac:dyDescent="0.25"/>
  <cols>
    <col min="1" max="1" width="18.710937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5</v>
      </c>
      <c r="D3" s="4">
        <v>400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300</v>
      </c>
      <c r="C4" s="3" t="s">
        <v>5</v>
      </c>
      <c r="D4" s="3" t="s">
        <v>6</v>
      </c>
      <c r="E4" s="3" t="s">
        <v>5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203+9*2.88</f>
        <v>228.92</v>
      </c>
      <c r="C5" s="3" t="s">
        <v>5</v>
      </c>
      <c r="D5" s="3" t="s">
        <v>6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6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6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5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5</v>
      </c>
    </row>
    <row r="10" spans="1:10" s="10" customFormat="1" x14ac:dyDescent="0.25">
      <c r="A10" s="10" t="s">
        <v>17</v>
      </c>
      <c r="B10" s="10">
        <v>10</v>
      </c>
      <c r="C10" s="10" t="s">
        <v>5</v>
      </c>
      <c r="D10" s="10" t="s">
        <v>24</v>
      </c>
      <c r="E10" s="10" t="s">
        <v>23</v>
      </c>
      <c r="J10" s="11"/>
    </row>
    <row r="11" spans="1:10" s="3" customFormat="1" x14ac:dyDescent="0.25">
      <c r="A11" s="3" t="s">
        <v>30</v>
      </c>
      <c r="B11" s="3">
        <v>50</v>
      </c>
      <c r="C11" s="3" t="s">
        <v>5</v>
      </c>
      <c r="D11" s="3" t="s">
        <v>6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433.66*(H17)/(H17+H18)</f>
        <v>325.52687900000001</v>
      </c>
      <c r="J12" s="5"/>
    </row>
    <row r="13" spans="1:10" s="3" customFormat="1" x14ac:dyDescent="0.25">
      <c r="A13" s="3" t="s">
        <v>27</v>
      </c>
      <c r="B13" s="3">
        <f>125.74*2.88</f>
        <v>362.13119999999998</v>
      </c>
      <c r="C13" s="3" t="s">
        <v>5</v>
      </c>
      <c r="D13" s="3" t="s">
        <v>6</v>
      </c>
      <c r="J13" s="5"/>
    </row>
    <row r="14" spans="1:10" s="3" customFormat="1" x14ac:dyDescent="0.25">
      <c r="A14" s="3" t="s">
        <v>32</v>
      </c>
      <c r="B14" s="3">
        <v>120</v>
      </c>
      <c r="D14" s="3">
        <v>120</v>
      </c>
      <c r="J14" s="5"/>
    </row>
    <row r="15" spans="1:10" s="4" customFormat="1" x14ac:dyDescent="0.25">
      <c r="G15">
        <v>57.16</v>
      </c>
      <c r="H15" s="4">
        <f>D3-B3</f>
        <v>0</v>
      </c>
      <c r="J15" s="7"/>
    </row>
    <row r="16" spans="1:10" s="4" customFormat="1" x14ac:dyDescent="0.25">
      <c r="A16" s="4" t="s">
        <v>31</v>
      </c>
      <c r="B16" s="4">
        <f>SUM(B4:B8)+D3+D9+D14+B11+B13</f>
        <v>2300.2312000000002</v>
      </c>
      <c r="G16"/>
      <c r="J16" s="7"/>
    </row>
    <row r="17" spans="1:10" s="4" customFormat="1" x14ac:dyDescent="0.25">
      <c r="A17" s="12" t="s">
        <v>24</v>
      </c>
      <c r="B17" s="12">
        <f>B19-B16</f>
        <v>335.52687900000001</v>
      </c>
      <c r="C17" s="4">
        <v>-1383</v>
      </c>
      <c r="D17" s="4">
        <f>SUM(B17:C17)</f>
        <v>-1047.473121</v>
      </c>
      <c r="G17"/>
      <c r="H17" s="4">
        <v>15013</v>
      </c>
      <c r="I17" s="4">
        <f>B12/2.8</f>
        <v>116.25959964285715</v>
      </c>
      <c r="J17" s="7"/>
    </row>
    <row r="18" spans="1:10" s="4" customFormat="1" x14ac:dyDescent="0.25">
      <c r="G18"/>
      <c r="H18" s="4">
        <v>4987</v>
      </c>
      <c r="J18" s="7"/>
    </row>
    <row r="19" spans="1:10" ht="15.75" x14ac:dyDescent="0.25">
      <c r="A19" t="s">
        <v>20</v>
      </c>
      <c r="B19" s="6">
        <f>SUM(B3:B14)</f>
        <v>2635.7580790000002</v>
      </c>
      <c r="C19" s="6"/>
      <c r="D19" s="6"/>
      <c r="H19">
        <f>SUM(H17:H18)</f>
        <v>20000</v>
      </c>
    </row>
    <row r="20" spans="1:10" x14ac:dyDescent="0.25">
      <c r="B20">
        <f>B19/2.74</f>
        <v>961.95550328467152</v>
      </c>
    </row>
    <row r="21" spans="1:10" x14ac:dyDescent="0.25">
      <c r="E21" s="2" t="s">
        <v>21</v>
      </c>
    </row>
    <row r="22" spans="1:10" x14ac:dyDescent="0.25">
      <c r="E22" s="2">
        <f>1305-B20</f>
        <v>343.04449671532848</v>
      </c>
    </row>
    <row r="23" spans="1:10" x14ac:dyDescent="0.25">
      <c r="A23" s="3"/>
    </row>
    <row r="24" spans="1:10" x14ac:dyDescent="0.25">
      <c r="G24" s="2"/>
    </row>
    <row r="25" spans="1:10" x14ac:dyDescent="0.25">
      <c r="B25" s="8"/>
      <c r="C25" s="9"/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0"/>
  <sheetViews>
    <sheetView workbookViewId="0">
      <selection activeCell="A17" sqref="A17:XFD1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160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2" s="3" customFormat="1" x14ac:dyDescent="0.25">
      <c r="A4" s="16" t="s">
        <v>9</v>
      </c>
      <c r="B4" s="16">
        <f>30+16*B36</f>
        <v>73.52000000000001</v>
      </c>
      <c r="C4" s="16"/>
      <c r="D4" s="16">
        <f>73.52</f>
        <v>73.52</v>
      </c>
      <c r="F4" s="5"/>
      <c r="G4" s="5">
        <f>SUM(B5:B9)</f>
        <v>647</v>
      </c>
      <c r="H4" s="3">
        <f>B13-B9</f>
        <v>293.52687900000001</v>
      </c>
      <c r="I4" s="3">
        <f>G4+H4</f>
        <v>940.52687900000001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SUM(B5:B8)</f>
        <v>615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2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2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>
        <v>7779</v>
      </c>
      <c r="K8" s="3">
        <v>-1300</v>
      </c>
      <c r="L8" s="3">
        <f>SUM(J8:K8)</f>
        <v>6479</v>
      </c>
    </row>
    <row r="9" spans="1:12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>
        <v>894</v>
      </c>
      <c r="K9" s="3">
        <v>1300</v>
      </c>
      <c r="L9" s="3">
        <f>SUM(J9:K9)</f>
        <v>2194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 t="shared" ref="D10:D15" si="1">B10</f>
        <v>130.76</v>
      </c>
      <c r="L10" s="3">
        <f>SUM(L8:L9)</f>
        <v>8673</v>
      </c>
    </row>
    <row r="11" spans="1:12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2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2" s="3" customFormat="1" x14ac:dyDescent="0.25">
      <c r="A13" s="16" t="s">
        <v>26</v>
      </c>
      <c r="B13" s="16">
        <f>J32</f>
        <v>325.52687900000001</v>
      </c>
      <c r="C13" s="16"/>
      <c r="D13" s="16">
        <f t="shared" si="1"/>
        <v>325.52687900000001</v>
      </c>
      <c r="J13" s="5"/>
    </row>
    <row r="14" spans="1:12" s="3" customFormat="1" x14ac:dyDescent="0.25">
      <c r="A14" s="16" t="s">
        <v>27</v>
      </c>
      <c r="B14" s="16">
        <f>33.24*B36</f>
        <v>90.412800000000018</v>
      </c>
      <c r="C14" s="16"/>
      <c r="D14" s="16">
        <f t="shared" si="1"/>
        <v>90.412800000000018</v>
      </c>
      <c r="J14" s="5"/>
    </row>
    <row r="15" spans="1:12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20*(B17/22)</f>
        <v>162.27272727272725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2">20*(B18/22)</f>
        <v>194.72727272727272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2"/>
        <v>57.272727272727273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v>200</v>
      </c>
      <c r="F23" s="37"/>
    </row>
    <row r="24" spans="1:11" s="3" customFormat="1" x14ac:dyDescent="0.25">
      <c r="A24" s="20" t="s">
        <v>156</v>
      </c>
      <c r="B24" s="16">
        <f>110*B36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161</v>
      </c>
      <c r="B25" s="16">
        <f>540*B36</f>
        <v>1468.8000000000002</v>
      </c>
      <c r="C25" s="16"/>
      <c r="D25" s="16">
        <f>B25</f>
        <v>1468.8000000000002</v>
      </c>
      <c r="F25" s="37"/>
    </row>
    <row r="26" spans="1:11" s="3" customFormat="1" x14ac:dyDescent="0.25">
      <c r="A26" s="20" t="s">
        <v>162</v>
      </c>
      <c r="B26" s="40">
        <v>487</v>
      </c>
      <c r="C26" s="16"/>
      <c r="D26" s="16">
        <v>487</v>
      </c>
      <c r="F26" s="37"/>
    </row>
    <row r="27" spans="1:11" s="3" customFormat="1" x14ac:dyDescent="0.25">
      <c r="A27" s="20" t="s">
        <v>163</v>
      </c>
      <c r="B27" s="40">
        <v>315</v>
      </c>
      <c r="C27" s="16"/>
      <c r="D27" s="16">
        <f>B27</f>
        <v>315</v>
      </c>
      <c r="F27" s="37"/>
    </row>
    <row r="28" spans="1:11" s="3" customFormat="1" x14ac:dyDescent="0.25">
      <c r="A28" s="20" t="s">
        <v>159</v>
      </c>
      <c r="B28" s="16">
        <v>50</v>
      </c>
      <c r="C28" s="16"/>
      <c r="D28" s="16">
        <f>B28</f>
        <v>50</v>
      </c>
      <c r="F28" s="37"/>
    </row>
    <row r="29" spans="1:11" x14ac:dyDescent="0.25">
      <c r="A29" s="22"/>
      <c r="B29" s="13"/>
      <c r="C29" s="13"/>
      <c r="D29" s="13"/>
      <c r="F29" s="26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SUM(D2:D28)</f>
        <v>5626.4924062727268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41.427272727272793</v>
      </c>
      <c r="D32" s="43">
        <f>B32+F37</f>
        <v>41.507593727273161</v>
      </c>
      <c r="E32" s="4">
        <v>2818</v>
      </c>
      <c r="F32" s="4">
        <f>D32-E32</f>
        <v>-2776.4924062727268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SUM(B2:B19)+SUM(B21:B30)</f>
        <v>5667.9196789999996</v>
      </c>
      <c r="C34" s="14">
        <f>B34/B36</f>
        <v>2083.7939996323526</v>
      </c>
      <c r="D34" s="14"/>
      <c r="F34" s="25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5667.9196789999996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7">
        <f>(5300)-B34+368</f>
        <v>8.0321000000367349E-2</v>
      </c>
      <c r="G37" s="7"/>
    </row>
    <row r="38" spans="1:10" x14ac:dyDescent="0.25">
      <c r="F38" s="7">
        <f>F37/B36</f>
        <v>2.952977941189976E-2</v>
      </c>
      <c r="G38" s="7"/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2"/>
  <sheetViews>
    <sheetView workbookViewId="0"/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164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v>230</v>
      </c>
      <c r="C3" s="16"/>
      <c r="D3" s="16">
        <f>B3</f>
        <v>230</v>
      </c>
      <c r="F3" s="5"/>
    </row>
    <row r="4" spans="1:12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>
        <f>SUM(B5:B8)</f>
        <v>522</v>
      </c>
      <c r="H4" s="3">
        <f>B13-B8</f>
        <v>293.52687900000001</v>
      </c>
      <c r="I4" s="3">
        <f>G4+H4</f>
        <v>815.52687900000001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SUM(B5:B7)</f>
        <v>490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F6" s="3">
        <f>B5+B6+B7</f>
        <v>490</v>
      </c>
    </row>
    <row r="7" spans="1:12" s="3" customFormat="1" x14ac:dyDescent="0.25">
      <c r="A7" s="16" t="s">
        <v>51</v>
      </c>
      <c r="B7" s="16">
        <f>40</f>
        <v>40</v>
      </c>
      <c r="C7" s="16"/>
      <c r="D7" s="16">
        <f t="shared" si="0"/>
        <v>40</v>
      </c>
      <c r="F7" s="3">
        <f>B8*3</f>
        <v>96</v>
      </c>
      <c r="J7" s="5">
        <v>7779</v>
      </c>
      <c r="K7" s="3">
        <v>-1300</v>
      </c>
      <c r="L7" s="3">
        <f>SUM(J7:K7)</f>
        <v>6479</v>
      </c>
    </row>
    <row r="8" spans="1:12" s="3" customFormat="1" x14ac:dyDescent="0.25">
      <c r="A8" s="16" t="s">
        <v>118</v>
      </c>
      <c r="B8" s="16">
        <v>32</v>
      </c>
      <c r="C8" s="16"/>
      <c r="D8" s="16">
        <f t="shared" si="0"/>
        <v>32</v>
      </c>
      <c r="F8" s="3">
        <f>SUM(F6:F7)</f>
        <v>586</v>
      </c>
      <c r="J8" s="5">
        <v>894</v>
      </c>
      <c r="K8" s="3">
        <v>1300</v>
      </c>
      <c r="L8" s="3">
        <f>SUM(J8:K8)</f>
        <v>2194</v>
      </c>
    </row>
    <row r="9" spans="1:12" s="3" customFormat="1" x14ac:dyDescent="0.25">
      <c r="A9" s="16" t="s">
        <v>173</v>
      </c>
      <c r="B9" s="16">
        <v>67</v>
      </c>
      <c r="C9" s="16"/>
      <c r="D9" s="16">
        <v>67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  <c r="L10" s="3">
        <f>SUM(L7:L8)</f>
        <v>8673</v>
      </c>
    </row>
    <row r="11" spans="1:12" x14ac:dyDescent="0.25">
      <c r="A11" s="13" t="s">
        <v>94</v>
      </c>
      <c r="B11" s="13">
        <f>100+35+15</f>
        <v>150</v>
      </c>
      <c r="C11" s="13"/>
      <c r="D11" s="13">
        <f>31</f>
        <v>31</v>
      </c>
    </row>
    <row r="12" spans="1:12" s="3" customFormat="1" x14ac:dyDescent="0.25">
      <c r="A12" s="16" t="s">
        <v>17</v>
      </c>
      <c r="B12" s="16">
        <v>10</v>
      </c>
      <c r="C12" s="16"/>
      <c r="D12" s="16">
        <v>10</v>
      </c>
      <c r="F12" s="3">
        <f>325.5-32</f>
        <v>293.5</v>
      </c>
      <c r="J12" s="5"/>
    </row>
    <row r="13" spans="1:12" s="3" customFormat="1" x14ac:dyDescent="0.25">
      <c r="A13" s="16" t="s">
        <v>26</v>
      </c>
      <c r="B13" s="16">
        <f>J34</f>
        <v>325.52687900000001</v>
      </c>
      <c r="C13" s="16"/>
      <c r="D13" s="16">
        <f>B13</f>
        <v>325.52687900000001</v>
      </c>
      <c r="J13" s="5"/>
    </row>
    <row r="14" spans="1:12" s="3" customFormat="1" x14ac:dyDescent="0.25">
      <c r="A14" s="16" t="s">
        <v>27</v>
      </c>
      <c r="B14" s="16">
        <f>33.24*B38</f>
        <v>90.412800000000018</v>
      </c>
      <c r="C14" s="16"/>
      <c r="D14" s="16">
        <f>B14</f>
        <v>90.412800000000018</v>
      </c>
      <c r="J14" s="5"/>
    </row>
    <row r="15" spans="1:12" s="3" customFormat="1" x14ac:dyDescent="0.25">
      <c r="A15" s="16" t="s">
        <v>32</v>
      </c>
      <c r="B15" s="16">
        <v>0</v>
      </c>
      <c r="C15" s="16"/>
      <c r="D15" s="16">
        <v>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50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12*(B17/22)</f>
        <v>92.727272727272734</v>
      </c>
      <c r="J17" s="7"/>
    </row>
    <row r="18" spans="1:10" x14ac:dyDescent="0.25">
      <c r="A18" s="13" t="s">
        <v>87</v>
      </c>
      <c r="B18" s="13">
        <f>20*(6+1.5+1.5+0.7+0.5)</f>
        <v>204</v>
      </c>
      <c r="C18" s="13"/>
      <c r="D18" s="13">
        <f t="shared" ref="D18:D19" si="1">12*(B18/22)</f>
        <v>111.27272727272728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 t="shared" si="1"/>
        <v>32.727272727272727</v>
      </c>
      <c r="F19" s="4">
        <v>3185</v>
      </c>
      <c r="G19" s="4">
        <v>4360</v>
      </c>
      <c r="H19" s="4">
        <f>F19-G19</f>
        <v>-1175</v>
      </c>
      <c r="I19" s="4">
        <f>H19*2</f>
        <v>-2350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f>SUM(F19:F19)</f>
        <v>3185</v>
      </c>
    </row>
    <row r="21" spans="1:10" s="3" customFormat="1" x14ac:dyDescent="0.25">
      <c r="A21" s="45" t="s">
        <v>179</v>
      </c>
      <c r="B21" s="16">
        <v>350</v>
      </c>
      <c r="C21" s="16"/>
      <c r="D21" s="16">
        <f>B21</f>
        <v>350</v>
      </c>
    </row>
    <row r="22" spans="1:10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0" s="3" customFormat="1" x14ac:dyDescent="0.25">
      <c r="A23" s="20" t="s">
        <v>112</v>
      </c>
      <c r="B23" s="16">
        <v>100</v>
      </c>
      <c r="C23" s="16"/>
      <c r="D23" s="16">
        <v>100</v>
      </c>
      <c r="F23" s="37"/>
    </row>
    <row r="24" spans="1:10" s="3" customFormat="1" x14ac:dyDescent="0.25">
      <c r="A24" s="20" t="s">
        <v>165</v>
      </c>
      <c r="B24" s="40">
        <v>130</v>
      </c>
      <c r="C24" s="16"/>
      <c r="D24" s="16">
        <v>130</v>
      </c>
      <c r="F24" s="37"/>
    </row>
    <row r="25" spans="1:10" s="3" customFormat="1" x14ac:dyDescent="0.25">
      <c r="A25" s="20" t="s">
        <v>168</v>
      </c>
      <c r="B25" s="40">
        <v>50</v>
      </c>
      <c r="C25" s="16"/>
      <c r="D25" s="16">
        <v>50</v>
      </c>
      <c r="F25" s="37"/>
    </row>
    <row r="26" spans="1:10" s="3" customFormat="1" x14ac:dyDescent="0.25">
      <c r="A26" s="20" t="s">
        <v>169</v>
      </c>
      <c r="B26" s="40">
        <v>198</v>
      </c>
      <c r="C26" s="16"/>
      <c r="D26" s="16">
        <f>B26</f>
        <v>198</v>
      </c>
      <c r="F26" s="37"/>
    </row>
    <row r="27" spans="1:10" s="3" customFormat="1" x14ac:dyDescent="0.25">
      <c r="A27" s="20" t="s">
        <v>170</v>
      </c>
      <c r="B27" s="40">
        <v>200</v>
      </c>
      <c r="C27" s="16"/>
      <c r="D27" s="16">
        <f>B27</f>
        <v>200</v>
      </c>
      <c r="F27" s="37"/>
    </row>
    <row r="28" spans="1:10" s="3" customFormat="1" x14ac:dyDescent="0.25">
      <c r="A28" s="20" t="s">
        <v>171</v>
      </c>
      <c r="B28" s="40">
        <v>53.3</v>
      </c>
      <c r="C28" s="16"/>
      <c r="D28" s="16">
        <v>53.3</v>
      </c>
      <c r="F28" s="37">
        <f>D28*2+50+130</f>
        <v>286.60000000000002</v>
      </c>
      <c r="G28" s="3">
        <f>D28*2</f>
        <v>106.6</v>
      </c>
      <c r="H28" s="3">
        <f>G28+B24</f>
        <v>236.6</v>
      </c>
    </row>
    <row r="29" spans="1:10" s="3" customFormat="1" x14ac:dyDescent="0.25">
      <c r="A29" s="20" t="s">
        <v>166</v>
      </c>
      <c r="B29" s="40">
        <f>89.7*B38</f>
        <v>243.98400000000004</v>
      </c>
      <c r="C29" s="16"/>
      <c r="D29" s="16">
        <f>B29</f>
        <v>243.98400000000004</v>
      </c>
      <c r="F29" s="37"/>
    </row>
    <row r="30" spans="1:10" s="3" customFormat="1" x14ac:dyDescent="0.25">
      <c r="A30" s="20" t="s">
        <v>167</v>
      </c>
      <c r="B30" s="16">
        <v>50</v>
      </c>
      <c r="C30" s="16"/>
      <c r="D30" s="16">
        <f>B30</f>
        <v>50</v>
      </c>
      <c r="F30" s="37"/>
    </row>
    <row r="31" spans="1:10" x14ac:dyDescent="0.25">
      <c r="A31" s="22"/>
      <c r="B31" s="13"/>
      <c r="C31" s="13"/>
      <c r="D31" s="13"/>
      <c r="F31" s="26"/>
    </row>
    <row r="32" spans="1:10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3518.7109517272729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66.272727272727479</v>
      </c>
      <c r="D34" s="43">
        <f>B34+F39</f>
        <v>1331.2890482727271</v>
      </c>
      <c r="E34" s="4">
        <v>2818</v>
      </c>
      <c r="F34" s="4">
        <f>D34-E34</f>
        <v>-1486.7109517272729</v>
      </c>
      <c r="H34" s="4">
        <v>15013</v>
      </c>
      <c r="I34" s="4">
        <f>B13/2.8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H35" s="4">
        <v>4987</v>
      </c>
      <c r="J35" s="7"/>
    </row>
    <row r="36" spans="1:11" ht="15.75" x14ac:dyDescent="0.25">
      <c r="A36" s="4" t="s">
        <v>20</v>
      </c>
      <c r="B36" s="14">
        <f>SUM(B2:B19)+SUM(B22:B32)</f>
        <v>3584.9836790000004</v>
      </c>
      <c r="C36" s="14">
        <f>B36/B38</f>
        <v>1318.008705514706</v>
      </c>
      <c r="D36" s="14">
        <v>3468.77</v>
      </c>
      <c r="F36" s="25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3584.9836790000004</v>
      </c>
      <c r="D37" s="4">
        <v>53.3</v>
      </c>
      <c r="E37" s="26"/>
    </row>
    <row r="38" spans="1:11" x14ac:dyDescent="0.25">
      <c r="A38" s="7"/>
      <c r="B38" s="4">
        <f>2.72</f>
        <v>2.72</v>
      </c>
      <c r="D38" s="4">
        <v>41.65</v>
      </c>
      <c r="E38" s="7"/>
      <c r="F38" s="7" t="s">
        <v>78</v>
      </c>
      <c r="H38" s="4">
        <f>H34/B38</f>
        <v>5519.4852941176468</v>
      </c>
    </row>
    <row r="39" spans="1:11" x14ac:dyDescent="0.25">
      <c r="E39" s="7"/>
      <c r="F39" s="7">
        <f>(4850)-B36</f>
        <v>1265.0163209999996</v>
      </c>
      <c r="G39" s="7"/>
    </row>
    <row r="40" spans="1:11" x14ac:dyDescent="0.25">
      <c r="D40" s="4">
        <f>SUM(D36:D39)</f>
        <v>3563.7200000000003</v>
      </c>
      <c r="F40" s="7">
        <f>F39/B38</f>
        <v>465.07952977941159</v>
      </c>
      <c r="G40" s="7"/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E4" sqref="E4:E11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172</v>
      </c>
      <c r="C1" s="4" t="s">
        <v>2</v>
      </c>
      <c r="D1" s="7"/>
    </row>
    <row r="2" spans="1:11" x14ac:dyDescent="0.25">
      <c r="A2" s="13" t="s">
        <v>4</v>
      </c>
      <c r="B2" s="13">
        <v>400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f>B3</f>
        <v>230</v>
      </c>
      <c r="E3" s="7"/>
    </row>
    <row r="4" spans="1:11" x14ac:dyDescent="0.25">
      <c r="A4" s="13" t="s">
        <v>9</v>
      </c>
      <c r="B4" s="13">
        <v>100</v>
      </c>
      <c r="C4" s="13">
        <f>B4</f>
        <v>100</v>
      </c>
      <c r="E4" s="7" t="s">
        <v>194</v>
      </c>
      <c r="F4" s="7">
        <f>SUM(B6:B7)</f>
        <v>132</v>
      </c>
      <c r="G4" s="4">
        <f>B16-B7</f>
        <v>293.52687900000001</v>
      </c>
      <c r="H4" s="4">
        <f>F4+G4</f>
        <v>425.52687900000001</v>
      </c>
    </row>
    <row r="5" spans="1:11" x14ac:dyDescent="0.25">
      <c r="A5" s="13" t="s">
        <v>185</v>
      </c>
      <c r="B5" s="13">
        <v>0</v>
      </c>
      <c r="C5" s="13">
        <v>0</v>
      </c>
      <c r="E5" s="7"/>
      <c r="F5" s="7"/>
    </row>
    <row r="6" spans="1:11" x14ac:dyDescent="0.25">
      <c r="A6" s="48" t="s">
        <v>48</v>
      </c>
      <c r="B6" s="13">
        <f>300/3</f>
        <v>100</v>
      </c>
      <c r="C6" s="13">
        <f>B6</f>
        <v>100</v>
      </c>
      <c r="E6" s="4">
        <v>300</v>
      </c>
      <c r="F6" s="4">
        <f>SUM(B6:B11)</f>
        <v>532</v>
      </c>
    </row>
    <row r="7" spans="1:11" x14ac:dyDescent="0.25">
      <c r="A7" s="48" t="s">
        <v>118</v>
      </c>
      <c r="B7" s="13">
        <v>32</v>
      </c>
      <c r="C7" s="13">
        <f t="shared" ref="C7:C9" si="0">B7</f>
        <v>32</v>
      </c>
      <c r="E7" s="4">
        <f>C7*3</f>
        <v>96</v>
      </c>
      <c r="I7" s="7">
        <v>894</v>
      </c>
      <c r="J7" s="4">
        <v>1300</v>
      </c>
      <c r="K7" s="4">
        <f>SUM(I7:J7)</f>
        <v>2194</v>
      </c>
    </row>
    <row r="8" spans="1:11" x14ac:dyDescent="0.25">
      <c r="A8" s="48" t="s">
        <v>191</v>
      </c>
      <c r="B8" s="13">
        <f>300/3</f>
        <v>100</v>
      </c>
      <c r="C8" s="13">
        <f t="shared" si="0"/>
        <v>100</v>
      </c>
      <c r="I8" s="7"/>
    </row>
    <row r="9" spans="1:11" x14ac:dyDescent="0.25">
      <c r="A9" s="48" t="s">
        <v>192</v>
      </c>
      <c r="B9" s="13">
        <f>240/3</f>
        <v>80</v>
      </c>
      <c r="C9" s="13">
        <f t="shared" si="0"/>
        <v>80</v>
      </c>
      <c r="I9" s="7"/>
    </row>
    <row r="10" spans="1:11" x14ac:dyDescent="0.25">
      <c r="A10" s="13" t="s">
        <v>49</v>
      </c>
      <c r="B10" s="13">
        <v>150</v>
      </c>
      <c r="C10" s="13">
        <f>B10</f>
        <v>150</v>
      </c>
      <c r="E10" s="4">
        <f>C10</f>
        <v>150</v>
      </c>
    </row>
    <row r="11" spans="1:11" x14ac:dyDescent="0.25">
      <c r="A11" s="13" t="s">
        <v>51</v>
      </c>
      <c r="B11" s="13">
        <f>70</f>
        <v>70</v>
      </c>
      <c r="C11" s="13">
        <f>B11</f>
        <v>70</v>
      </c>
      <c r="E11" s="4">
        <f>C11</f>
        <v>70</v>
      </c>
      <c r="I11" s="7">
        <v>7779</v>
      </c>
      <c r="J11" s="4">
        <v>-1300</v>
      </c>
      <c r="K11" s="4">
        <f>SUM(I11:J11)</f>
        <v>6479</v>
      </c>
    </row>
    <row r="12" spans="1:11" x14ac:dyDescent="0.25">
      <c r="A12" s="13" t="s">
        <v>186</v>
      </c>
      <c r="B12" s="13">
        <v>67</v>
      </c>
      <c r="C12" s="13">
        <f>B12</f>
        <v>67</v>
      </c>
    </row>
    <row r="13" spans="1:11" x14ac:dyDescent="0.25">
      <c r="A13" s="13" t="s">
        <v>13</v>
      </c>
      <c r="B13" s="13">
        <f>130.76</f>
        <v>130.76</v>
      </c>
      <c r="C13" s="13">
        <f>B13</f>
        <v>130.76</v>
      </c>
      <c r="K13" s="4">
        <f>SUM(K7:K7)</f>
        <v>2194</v>
      </c>
    </row>
    <row r="14" spans="1:11" x14ac:dyDescent="0.25">
      <c r="A14" s="13" t="s">
        <v>94</v>
      </c>
      <c r="B14" s="13">
        <f>100+35+15</f>
        <v>150</v>
      </c>
      <c r="C14" s="13">
        <v>0</v>
      </c>
    </row>
    <row r="15" spans="1:11" x14ac:dyDescent="0.25">
      <c r="A15" s="13" t="s">
        <v>17</v>
      </c>
      <c r="B15" s="13">
        <v>10</v>
      </c>
      <c r="C15" s="13">
        <f>B15</f>
        <v>10</v>
      </c>
      <c r="I15" s="7"/>
    </row>
    <row r="16" spans="1:11" x14ac:dyDescent="0.25">
      <c r="A16" s="13" t="s">
        <v>26</v>
      </c>
      <c r="B16" s="13">
        <f>I32</f>
        <v>325.52687900000001</v>
      </c>
      <c r="C16" s="13">
        <f>B16</f>
        <v>325.52687900000001</v>
      </c>
      <c r="I16" s="7"/>
    </row>
    <row r="17" spans="1:10" s="3" customFormat="1" x14ac:dyDescent="0.25">
      <c r="A17" s="16" t="s">
        <v>27</v>
      </c>
      <c r="B17" s="16">
        <f>33.24*B36</f>
        <v>90.412800000000018</v>
      </c>
      <c r="C17" s="16">
        <f>B17</f>
        <v>90.412800000000018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x14ac:dyDescent="0.25">
      <c r="A19" s="13" t="s">
        <v>84</v>
      </c>
      <c r="B19" s="44">
        <v>150</v>
      </c>
      <c r="C19" s="13">
        <f>50</f>
        <v>50</v>
      </c>
      <c r="I19" s="7"/>
    </row>
    <row r="20" spans="1:10" x14ac:dyDescent="0.25">
      <c r="A20" s="13" t="s">
        <v>79</v>
      </c>
      <c r="B20" s="13">
        <f>21*8.5</f>
        <v>178.5</v>
      </c>
      <c r="C20" s="13">
        <f>B20*15/20</f>
        <v>133.875</v>
      </c>
      <c r="D20" s="13">
        <f>20*(B20/22)</f>
        <v>162.27272727272725</v>
      </c>
      <c r="J20" s="7"/>
    </row>
    <row r="21" spans="1:10" x14ac:dyDescent="0.25">
      <c r="A21" s="13" t="s">
        <v>87</v>
      </c>
      <c r="B21" s="13">
        <f>21*(0.5+1+1+1.5+1+0.5)</f>
        <v>115.5</v>
      </c>
      <c r="C21" s="13">
        <f t="shared" ref="C21:C22" si="1">B21*15/20</f>
        <v>86.625</v>
      </c>
      <c r="D21" s="13">
        <f t="shared" ref="D21:D22" si="2">20*(B21/22)</f>
        <v>105</v>
      </c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47.25</v>
      </c>
      <c r="D22" s="13">
        <f t="shared" si="2"/>
        <v>57.272727272727273</v>
      </c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2" t="s">
        <v>104</v>
      </c>
      <c r="B24" s="13">
        <v>50</v>
      </c>
      <c r="C24" s="13">
        <f>B24</f>
        <v>50</v>
      </c>
    </row>
    <row r="25" spans="1:10" x14ac:dyDescent="0.25">
      <c r="A25" s="22" t="s">
        <v>112</v>
      </c>
      <c r="B25" s="13">
        <v>100</v>
      </c>
      <c r="C25" s="13">
        <f>B25</f>
        <v>100</v>
      </c>
      <c r="E25" s="26"/>
    </row>
    <row r="26" spans="1:10" x14ac:dyDescent="0.25">
      <c r="A26" s="22" t="s">
        <v>169</v>
      </c>
      <c r="B26" s="44">
        <v>198</v>
      </c>
      <c r="C26" s="13">
        <v>0</v>
      </c>
      <c r="E26" s="26"/>
    </row>
    <row r="27" spans="1:10" x14ac:dyDescent="0.25">
      <c r="A27" s="22" t="s">
        <v>166</v>
      </c>
      <c r="B27" s="44">
        <f>100*B36</f>
        <v>272</v>
      </c>
      <c r="C27" s="13">
        <f>B27</f>
        <v>272</v>
      </c>
      <c r="E27" s="26"/>
    </row>
    <row r="28" spans="1:10" x14ac:dyDescent="0.25">
      <c r="A28" s="22" t="s">
        <v>167</v>
      </c>
      <c r="B28" s="13">
        <v>0</v>
      </c>
      <c r="C28" s="13">
        <f>B28</f>
        <v>0</v>
      </c>
      <c r="E28" s="26"/>
    </row>
    <row r="29" spans="1:10" x14ac:dyDescent="0.25">
      <c r="A29" s="22"/>
      <c r="B29" s="13"/>
      <c r="C29" s="13"/>
      <c r="E29" s="26"/>
    </row>
    <row r="30" spans="1:10" x14ac:dyDescent="0.25">
      <c r="C30" s="13">
        <v>0</v>
      </c>
      <c r="I30" s="7"/>
    </row>
    <row r="31" spans="1:10" x14ac:dyDescent="0.25">
      <c r="A31" s="4" t="s">
        <v>31</v>
      </c>
      <c r="B31" s="4">
        <f>SUM(C2:C28)</f>
        <v>2525.4496790000003</v>
      </c>
      <c r="C31" s="13">
        <v>0</v>
      </c>
      <c r="I31" s="7" t="s">
        <v>34</v>
      </c>
    </row>
    <row r="32" spans="1:10" x14ac:dyDescent="0.25">
      <c r="A32" s="4" t="s">
        <v>24</v>
      </c>
      <c r="B32" s="26">
        <f>B34-B31</f>
        <v>637.25</v>
      </c>
      <c r="C32" s="43">
        <f>B32+E37</f>
        <v>1437.9631209999998</v>
      </c>
      <c r="D32" s="4">
        <v>2818</v>
      </c>
      <c r="E32" s="4">
        <f>C32-D32</f>
        <v>-1380.0368790000002</v>
      </c>
      <c r="G32" s="4">
        <v>15013</v>
      </c>
      <c r="H32" s="4">
        <f>B16/2.8</f>
        <v>116.25959964285715</v>
      </c>
      <c r="I32" s="7">
        <f>433.66*(G32)/(G32+G33)</f>
        <v>325.52687900000001</v>
      </c>
      <c r="J32" s="7">
        <f>(G32)/(G32+G33)</f>
        <v>0.75065000000000004</v>
      </c>
    </row>
    <row r="33" spans="1:9" x14ac:dyDescent="0.25">
      <c r="G33" s="4">
        <v>4987</v>
      </c>
      <c r="I33" s="7"/>
    </row>
    <row r="34" spans="1:9" ht="15.75" x14ac:dyDescent="0.25">
      <c r="A34" s="4" t="s">
        <v>20</v>
      </c>
      <c r="B34" s="14">
        <f>SUM(B2:B22)+SUM(B24:B30)</f>
        <v>3162.6996790000003</v>
      </c>
      <c r="C34" s="14"/>
      <c r="E34" s="25"/>
      <c r="G34" s="4">
        <f>SUM(G32:G33)</f>
        <v>20000</v>
      </c>
      <c r="I34" s="26">
        <f>2200/B36</f>
        <v>808.82352941176464</v>
      </c>
    </row>
    <row r="35" spans="1:9" x14ac:dyDescent="0.25">
      <c r="B35" s="4">
        <f>B34</f>
        <v>3162.6996790000003</v>
      </c>
      <c r="D35" s="26"/>
    </row>
    <row r="36" spans="1:9" x14ac:dyDescent="0.25">
      <c r="A36" s="7"/>
      <c r="B36" s="4">
        <f>2.72</f>
        <v>2.72</v>
      </c>
      <c r="D36" s="7"/>
      <c r="E36" s="7" t="s">
        <v>78</v>
      </c>
      <c r="G36" s="4">
        <f>G32/B36</f>
        <v>5519.4852941176468</v>
      </c>
    </row>
    <row r="37" spans="1:9" x14ac:dyDescent="0.25">
      <c r="D37" s="7"/>
      <c r="E37" s="7">
        <f>3873-B34+B17</f>
        <v>800.71312099999977</v>
      </c>
      <c r="F37" s="7"/>
    </row>
    <row r="38" spans="1:9" x14ac:dyDescent="0.25">
      <c r="E38" s="7">
        <f>E37/B36</f>
        <v>294.37982389705871</v>
      </c>
      <c r="F38" s="7"/>
    </row>
    <row r="39" spans="1:9" x14ac:dyDescent="0.25">
      <c r="C39" s="4">
        <v>-3800</v>
      </c>
      <c r="D39" s="4">
        <v>100</v>
      </c>
      <c r="F39" s="7"/>
    </row>
    <row r="40" spans="1:9" x14ac:dyDescent="0.25">
      <c r="C40" s="4">
        <v>6377</v>
      </c>
      <c r="D40" s="4">
        <v>2500</v>
      </c>
    </row>
    <row r="41" spans="1:9" x14ac:dyDescent="0.25">
      <c r="C41" s="4">
        <f>SUM(C39:C40)</f>
        <v>2577</v>
      </c>
      <c r="D41" s="4">
        <v>2500</v>
      </c>
    </row>
    <row r="42" spans="1:9" x14ac:dyDescent="0.25">
      <c r="D42" s="4">
        <v>800</v>
      </c>
    </row>
    <row r="43" spans="1:9" x14ac:dyDescent="0.25">
      <c r="D43" s="4">
        <f>SUM(D39:D42)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3"/>
  <sheetViews>
    <sheetView topLeftCell="A18" workbookViewId="0">
      <selection activeCell="A18" sqref="A1:XFD1048576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193</v>
      </c>
      <c r="C1" s="4" t="s">
        <v>2</v>
      </c>
      <c r="D1" s="7"/>
    </row>
    <row r="2" spans="1:11" s="3" customFormat="1" x14ac:dyDescent="0.25">
      <c r="A2" s="16" t="s">
        <v>4</v>
      </c>
      <c r="B2" s="16">
        <v>500</v>
      </c>
      <c r="C2" s="16">
        <f>500</f>
        <v>500</v>
      </c>
      <c r="I2" s="24"/>
    </row>
    <row r="3" spans="1:11" s="3" customFormat="1" x14ac:dyDescent="0.25">
      <c r="A3" s="16" t="s">
        <v>7</v>
      </c>
      <c r="B3" s="16">
        <v>230</v>
      </c>
      <c r="C3" s="16">
        <f>B3</f>
        <v>230</v>
      </c>
      <c r="E3" s="5"/>
    </row>
    <row r="4" spans="1:11" s="3" customFormat="1" x14ac:dyDescent="0.25">
      <c r="A4" s="16" t="s">
        <v>196</v>
      </c>
      <c r="B4" s="16">
        <v>200.69</v>
      </c>
      <c r="C4" s="16">
        <f>B4</f>
        <v>200.69</v>
      </c>
      <c r="E4" s="5" t="s">
        <v>194</v>
      </c>
      <c r="F4" s="5">
        <f>SUM(B6:B7)</f>
        <v>132</v>
      </c>
      <c r="G4" s="3">
        <f>B16-B7</f>
        <v>293.52687900000001</v>
      </c>
      <c r="H4" s="3">
        <f>F4+G4</f>
        <v>425.52687900000001</v>
      </c>
    </row>
    <row r="5" spans="1:11" s="3" customFormat="1" x14ac:dyDescent="0.25">
      <c r="A5" s="16" t="s">
        <v>185</v>
      </c>
      <c r="B5" s="16">
        <v>600</v>
      </c>
      <c r="C5" s="16">
        <f>B5</f>
        <v>600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9" si="0">B7</f>
        <v>32</v>
      </c>
      <c r="E7" s="3">
        <f>B7*3</f>
        <v>96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I9" s="5"/>
    </row>
    <row r="10" spans="1:11" s="3" customFormat="1" x14ac:dyDescent="0.25">
      <c r="A10" s="16" t="s">
        <v>49</v>
      </c>
      <c r="B10" s="16">
        <v>150</v>
      </c>
      <c r="C10" s="16">
        <f>B10</f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>B11</f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67</v>
      </c>
      <c r="E12" s="61">
        <f>SUM(E6:E11)</f>
        <v>616</v>
      </c>
    </row>
    <row r="13" spans="1:11" s="3" customFormat="1" ht="15.75" thickBot="1" x14ac:dyDescent="0.3">
      <c r="A13" s="16" t="s">
        <v>13</v>
      </c>
      <c r="B13" s="16">
        <f>130.76</f>
        <v>130.76</v>
      </c>
      <c r="C13" s="16">
        <f t="shared" ref="C13:C18" si="1">B13</f>
        <v>130.76</v>
      </c>
      <c r="E13" s="3">
        <f>B16</f>
        <v>325.52687900000001</v>
      </c>
      <c r="F13" s="3">
        <v>-32</v>
      </c>
      <c r="G13" s="3">
        <f>E13+F13</f>
        <v>293.52687900000001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143+24.35</f>
        <v>167.35</v>
      </c>
      <c r="C14" s="16">
        <f t="shared" si="1"/>
        <v>167.35</v>
      </c>
      <c r="E14" s="61">
        <f>SUM(E12:E13)</f>
        <v>941.52687900000001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f t="shared" si="1"/>
        <v>10</v>
      </c>
      <c r="G15" s="3">
        <f>G13+G14</f>
        <v>553.52687900000001</v>
      </c>
      <c r="I15" s="5"/>
    </row>
    <row r="16" spans="1:11" s="3" customFormat="1" x14ac:dyDescent="0.25">
      <c r="A16" s="16" t="s">
        <v>26</v>
      </c>
      <c r="B16" s="16">
        <f>I35</f>
        <v>325.52687900000001</v>
      </c>
      <c r="C16" s="16">
        <f t="shared" si="1"/>
        <v>325.52687900000001</v>
      </c>
      <c r="I16" s="5"/>
    </row>
    <row r="17" spans="1:10" s="3" customFormat="1" x14ac:dyDescent="0.25">
      <c r="A17" s="16" t="s">
        <v>195</v>
      </c>
      <c r="B17" s="16">
        <f>100*B39</f>
        <v>272</v>
      </c>
      <c r="C17" s="16">
        <f t="shared" si="1"/>
        <v>272</v>
      </c>
      <c r="I17" s="5"/>
    </row>
    <row r="18" spans="1:10" s="3" customFormat="1" x14ac:dyDescent="0.25">
      <c r="A18" s="16" t="s">
        <v>27</v>
      </c>
      <c r="B18" s="16">
        <f>10.24*B39</f>
        <v>27.852800000000002</v>
      </c>
      <c r="C18" s="16">
        <f t="shared" si="1"/>
        <v>27.852800000000002</v>
      </c>
      <c r="I18" s="5"/>
    </row>
    <row r="19" spans="1:10" s="3" customFormat="1" x14ac:dyDescent="0.25">
      <c r="A19" s="16" t="s">
        <v>32</v>
      </c>
      <c r="B19" s="16">
        <v>0</v>
      </c>
      <c r="C19" s="16">
        <v>0</v>
      </c>
      <c r="I19" s="5"/>
    </row>
    <row r="20" spans="1:10" s="3" customFormat="1" x14ac:dyDescent="0.25">
      <c r="A20" s="16" t="s">
        <v>84</v>
      </c>
      <c r="B20" s="40">
        <v>150</v>
      </c>
      <c r="C20" s="16">
        <f>B20</f>
        <v>150</v>
      </c>
      <c r="I20" s="5"/>
    </row>
    <row r="21" spans="1:10" s="3" customFormat="1" x14ac:dyDescent="0.25">
      <c r="A21" s="16" t="s">
        <v>79</v>
      </c>
      <c r="B21" s="16">
        <f>21*8.5</f>
        <v>178.5</v>
      </c>
      <c r="C21" s="16">
        <f>B21</f>
        <v>178.5</v>
      </c>
      <c r="D21" s="16"/>
      <c r="J21" s="5"/>
    </row>
    <row r="22" spans="1:10" s="3" customFormat="1" x14ac:dyDescent="0.25">
      <c r="A22" s="16" t="s">
        <v>87</v>
      </c>
      <c r="B22" s="16">
        <f>21*(0.5+1+1+1.5+1+0.5)</f>
        <v>115.5</v>
      </c>
      <c r="C22" s="16">
        <f t="shared" ref="C22:C23" si="2">B22</f>
        <v>115.5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0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0" s="3" customFormat="1" x14ac:dyDescent="0.25">
      <c r="A24" s="45" t="s">
        <v>61</v>
      </c>
      <c r="B24" s="16"/>
      <c r="C24" s="16">
        <v>0</v>
      </c>
      <c r="E24" s="3">
        <f>SUM(E21:E21)</f>
        <v>0</v>
      </c>
    </row>
    <row r="25" spans="1:10" s="3" customFormat="1" x14ac:dyDescent="0.25">
      <c r="A25" s="45" t="s">
        <v>179</v>
      </c>
      <c r="B25" s="16">
        <v>18</v>
      </c>
      <c r="C25" s="16">
        <v>18</v>
      </c>
    </row>
    <row r="26" spans="1:10" s="3" customFormat="1" x14ac:dyDescent="0.25">
      <c r="A26" s="45" t="s">
        <v>197</v>
      </c>
      <c r="B26" s="16">
        <v>149</v>
      </c>
      <c r="C26" s="16">
        <v>149</v>
      </c>
    </row>
    <row r="27" spans="1:10" s="3" customFormat="1" x14ac:dyDescent="0.25">
      <c r="A27" s="45" t="s">
        <v>198</v>
      </c>
      <c r="B27" s="16">
        <v>90</v>
      </c>
      <c r="C27" s="16">
        <v>90</v>
      </c>
    </row>
    <row r="28" spans="1:10" s="3" customFormat="1" x14ac:dyDescent="0.25">
      <c r="A28" s="20" t="s">
        <v>104</v>
      </c>
      <c r="B28" s="16">
        <v>50</v>
      </c>
      <c r="C28" s="16">
        <f>B28</f>
        <v>50</v>
      </c>
    </row>
    <row r="29" spans="1:10" s="3" customFormat="1" x14ac:dyDescent="0.25">
      <c r="A29" s="20" t="s">
        <v>112</v>
      </c>
      <c r="B29" s="16">
        <v>100</v>
      </c>
      <c r="C29" s="16">
        <f>B29</f>
        <v>100</v>
      </c>
      <c r="E29" s="37"/>
    </row>
    <row r="30" spans="1:10" s="3" customFormat="1" x14ac:dyDescent="0.25">
      <c r="A30" s="20" t="s">
        <v>169</v>
      </c>
      <c r="B30" s="40">
        <v>198</v>
      </c>
      <c r="C30" s="16">
        <f>B30</f>
        <v>198</v>
      </c>
      <c r="E30" s="37"/>
    </row>
    <row r="31" spans="1:10" s="3" customFormat="1" x14ac:dyDescent="0.25">
      <c r="A31" s="20" t="s">
        <v>166</v>
      </c>
      <c r="B31" s="40">
        <f>98*B39</f>
        <v>266.56</v>
      </c>
      <c r="C31" s="16">
        <f>B31</f>
        <v>266.56</v>
      </c>
      <c r="E31" s="37"/>
    </row>
    <row r="32" spans="1:10" s="3" customFormat="1" x14ac:dyDescent="0.25">
      <c r="A32" s="20" t="s">
        <v>167</v>
      </c>
      <c r="B32" s="16">
        <v>0</v>
      </c>
      <c r="C32" s="16">
        <v>0</v>
      </c>
      <c r="E32" s="37"/>
    </row>
    <row r="33" spans="1:10" x14ac:dyDescent="0.25">
      <c r="C33" s="13">
        <v>0</v>
      </c>
      <c r="I33" s="7"/>
    </row>
    <row r="34" spans="1:10" ht="15.75" thickBot="1" x14ac:dyDescent="0.3">
      <c r="A34" s="4" t="s">
        <v>31</v>
      </c>
      <c r="B34" s="4">
        <f>SUM(C2:C32)</f>
        <v>4441.7396790000003</v>
      </c>
      <c r="C34" s="13">
        <v>0</v>
      </c>
      <c r="I34" s="7" t="s">
        <v>34</v>
      </c>
    </row>
    <row r="35" spans="1:10" x14ac:dyDescent="0.25">
      <c r="A35" s="51" t="s">
        <v>24</v>
      </c>
      <c r="B35" s="52">
        <f>B37-B34</f>
        <v>-257</v>
      </c>
      <c r="C35" s="53">
        <f>B35+E40</f>
        <v>1058.2603209999997</v>
      </c>
      <c r="D35" s="4">
        <v>2818</v>
      </c>
      <c r="E35" s="4">
        <f>C35-D35</f>
        <v>-1759.7396790000003</v>
      </c>
      <c r="G35" s="4">
        <v>15013</v>
      </c>
      <c r="H35" s="4">
        <f>B16/2.8</f>
        <v>116.25959964285715</v>
      </c>
      <c r="I35" s="7">
        <f>433.66*(G35)/(G35+G36)</f>
        <v>325.52687900000001</v>
      </c>
      <c r="J35" s="7">
        <f>(G35)/(G35+G36)</f>
        <v>0.75065000000000004</v>
      </c>
    </row>
    <row r="36" spans="1:10" x14ac:dyDescent="0.25">
      <c r="A36" s="54"/>
      <c r="B36" s="49"/>
      <c r="C36" s="55"/>
      <c r="G36" s="4">
        <v>4987</v>
      </c>
      <c r="I36" s="7"/>
    </row>
    <row r="37" spans="1:10" ht="15.75" x14ac:dyDescent="0.25">
      <c r="A37" s="54" t="s">
        <v>20</v>
      </c>
      <c r="B37" s="50">
        <f>SUM(B2:B23)+SUM(B28:B33)</f>
        <v>4184.7396790000003</v>
      </c>
      <c r="C37" s="56"/>
      <c r="E37" s="25"/>
      <c r="G37" s="4">
        <f>SUM(G35:G36)</f>
        <v>20000</v>
      </c>
      <c r="I37" s="26">
        <f>2200/B39</f>
        <v>808.82352941176464</v>
      </c>
    </row>
    <row r="38" spans="1:10" x14ac:dyDescent="0.25">
      <c r="A38" s="54"/>
      <c r="B38" s="49">
        <f>B37</f>
        <v>4184.7396790000003</v>
      </c>
      <c r="C38" s="55"/>
      <c r="D38" s="26"/>
    </row>
    <row r="39" spans="1:10" x14ac:dyDescent="0.25">
      <c r="A39" s="57"/>
      <c r="B39" s="49">
        <f>2.72</f>
        <v>2.72</v>
      </c>
      <c r="C39" s="55"/>
      <c r="D39" s="7"/>
      <c r="E39" s="7" t="s">
        <v>78</v>
      </c>
      <c r="G39" s="4">
        <f>G35/B39</f>
        <v>5519.4852941176468</v>
      </c>
    </row>
    <row r="40" spans="1:10" ht="15.75" thickBot="1" x14ac:dyDescent="0.3">
      <c r="A40" s="58"/>
      <c r="B40" s="59"/>
      <c r="C40" s="60"/>
      <c r="D40" s="7"/>
      <c r="E40" s="7">
        <f>5500-B37</f>
        <v>1315.2603209999997</v>
      </c>
      <c r="F40" s="7"/>
    </row>
    <row r="41" spans="1:10" x14ac:dyDescent="0.25">
      <c r="E41" s="7">
        <f>E40/B39</f>
        <v>483.55158860294102</v>
      </c>
      <c r="F41" s="7"/>
    </row>
    <row r="42" spans="1:10" x14ac:dyDescent="0.25">
      <c r="F42" s="7"/>
    </row>
    <row r="52" spans="1:2" x14ac:dyDescent="0.25">
      <c r="A52" s="7"/>
    </row>
    <row r="53" spans="1:2" x14ac:dyDescent="0.25">
      <c r="B53" s="26"/>
    </row>
  </sheetData>
  <pageMargins left="0.7" right="0.7" top="0.75" bottom="0.75" header="0.3" footer="0.3"/>
  <pageSetup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topLeftCell="A2" zoomScale="71" zoomScaleNormal="71" workbookViewId="0">
      <selection activeCell="E39" sqref="E3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53</v>
      </c>
      <c r="C1" s="4" t="s">
        <v>2</v>
      </c>
      <c r="D1" s="7"/>
    </row>
    <row r="2" spans="1:11" x14ac:dyDescent="0.25">
      <c r="A2" s="13" t="s">
        <v>4</v>
      </c>
      <c r="B2" s="13">
        <v>500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v>0</v>
      </c>
      <c r="E3" s="7"/>
    </row>
    <row r="4" spans="1:11" x14ac:dyDescent="0.25">
      <c r="A4" s="13" t="s">
        <v>196</v>
      </c>
      <c r="B4" s="13">
        <v>200.69</v>
      </c>
      <c r="C4" s="13">
        <v>0</v>
      </c>
      <c r="E4" s="63" t="s">
        <v>194</v>
      </c>
      <c r="F4" s="7">
        <f>SUM(B6:B7)</f>
        <v>132</v>
      </c>
      <c r="G4" s="3">
        <f>B16-B7</f>
        <v>293.52687900000001</v>
      </c>
      <c r="H4" s="4">
        <f>F4+G4</f>
        <v>425.52687900000001</v>
      </c>
    </row>
    <row r="5" spans="1:11" s="3" customFormat="1" x14ac:dyDescent="0.25">
      <c r="A5" s="16" t="s">
        <v>185</v>
      </c>
      <c r="B5" s="16">
        <f>89+9*B38</f>
        <v>113.48</v>
      </c>
      <c r="C5" s="16">
        <f>B5</f>
        <v>113.48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11" si="0">B7</f>
        <v>32</v>
      </c>
      <c r="E7" s="3">
        <f>B7*4</f>
        <v>128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E9" s="3">
        <v>240</v>
      </c>
      <c r="I9" s="5"/>
    </row>
    <row r="10" spans="1:11" s="3" customFormat="1" x14ac:dyDescent="0.25">
      <c r="A10" s="16" t="s">
        <v>49</v>
      </c>
      <c r="B10" s="16">
        <v>150</v>
      </c>
      <c r="C10" s="16">
        <f t="shared" si="0"/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 t="shared" si="0"/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0</v>
      </c>
      <c r="E12" s="61">
        <f>SUM(E6:E11)</f>
        <v>888</v>
      </c>
    </row>
    <row r="13" spans="1:11" s="3" customFormat="1" ht="15.75" thickBot="1" x14ac:dyDescent="0.3">
      <c r="A13" s="16" t="s">
        <v>13</v>
      </c>
      <c r="B13" s="16">
        <f>152.53</f>
        <v>152.53</v>
      </c>
      <c r="C13" s="16">
        <f>B13</f>
        <v>152.53</v>
      </c>
      <c r="E13" s="3">
        <f>G4</f>
        <v>293.52687900000001</v>
      </c>
      <c r="F13" s="3">
        <v>-32</v>
      </c>
      <c r="G13" s="3">
        <f>E13+F13</f>
        <v>261.52687900000001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113.5+24.35</f>
        <v>137.85</v>
      </c>
      <c r="C14" s="16">
        <v>113.5</v>
      </c>
      <c r="E14" s="61">
        <v>270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v>0</v>
      </c>
      <c r="E15" s="3">
        <f>SUM(E12:E14)</f>
        <v>1451.526879</v>
      </c>
      <c r="G15" s="3">
        <f>G13+G14</f>
        <v>521.52687900000001</v>
      </c>
      <c r="I15" s="5"/>
    </row>
    <row r="16" spans="1:11" s="3" customFormat="1" x14ac:dyDescent="0.25">
      <c r="A16" s="16" t="s">
        <v>26</v>
      </c>
      <c r="B16" s="16">
        <f>I34</f>
        <v>325.52687900000001</v>
      </c>
      <c r="C16" s="16">
        <f>B16</f>
        <v>325.52687900000001</v>
      </c>
      <c r="I16" s="5"/>
    </row>
    <row r="17" spans="1:10" s="3" customFormat="1" x14ac:dyDescent="0.25">
      <c r="A17" s="16" t="s">
        <v>199</v>
      </c>
      <c r="B17" s="16">
        <f>100*B38</f>
        <v>272</v>
      </c>
      <c r="C17" s="16">
        <f>B17</f>
        <v>272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s="3" customFormat="1" x14ac:dyDescent="0.25">
      <c r="A19" s="16" t="s">
        <v>84</v>
      </c>
      <c r="B19" s="40">
        <v>155</v>
      </c>
      <c r="C19" s="16">
        <f>B19</f>
        <v>155</v>
      </c>
      <c r="I19" s="5"/>
    </row>
    <row r="20" spans="1:10" x14ac:dyDescent="0.25">
      <c r="A20" s="13" t="s">
        <v>79</v>
      </c>
      <c r="B20" s="13">
        <f>21*8.5</f>
        <v>178.5</v>
      </c>
      <c r="C20" s="13">
        <f>(2/21)*B20</f>
        <v>17</v>
      </c>
      <c r="D20" s="13"/>
      <c r="J20" s="7"/>
    </row>
    <row r="21" spans="1:10" x14ac:dyDescent="0.25">
      <c r="A21" s="13" t="s">
        <v>87</v>
      </c>
      <c r="B21" s="13">
        <f>21*(0.5+1+1+2+1+0.5)</f>
        <v>126</v>
      </c>
      <c r="C21" s="13">
        <f t="shared" ref="C21:C22" si="1">(2/21)*B21</f>
        <v>12</v>
      </c>
      <c r="D21" s="13"/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6</v>
      </c>
      <c r="D22" s="13"/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3" t="s">
        <v>179</v>
      </c>
      <c r="B24" s="13">
        <v>0</v>
      </c>
      <c r="C24" s="13">
        <f>B24</f>
        <v>0</v>
      </c>
    </row>
    <row r="25" spans="1:10" s="3" customFormat="1" x14ac:dyDescent="0.25">
      <c r="A25" s="45" t="s">
        <v>200</v>
      </c>
      <c r="B25" s="16">
        <f>180+210</f>
        <v>390</v>
      </c>
      <c r="C25" s="16">
        <f>B25</f>
        <v>390</v>
      </c>
    </row>
    <row r="26" spans="1:10" s="3" customFormat="1" x14ac:dyDescent="0.25">
      <c r="A26" s="45" t="s">
        <v>197</v>
      </c>
      <c r="B26" s="16">
        <v>298</v>
      </c>
      <c r="C26" s="16">
        <f>B26</f>
        <v>298</v>
      </c>
    </row>
    <row r="27" spans="1:10" s="3" customFormat="1" x14ac:dyDescent="0.25">
      <c r="A27" s="20" t="s">
        <v>104</v>
      </c>
      <c r="B27" s="16">
        <v>50</v>
      </c>
      <c r="C27" s="16">
        <f>B27</f>
        <v>50</v>
      </c>
    </row>
    <row r="28" spans="1:10" x14ac:dyDescent="0.25">
      <c r="A28" s="22" t="s">
        <v>112</v>
      </c>
      <c r="B28" s="13">
        <v>100</v>
      </c>
      <c r="C28" s="13">
        <f>B28</f>
        <v>100</v>
      </c>
      <c r="E28" s="26">
        <v>312</v>
      </c>
    </row>
    <row r="29" spans="1:10" x14ac:dyDescent="0.25">
      <c r="A29" s="22" t="s">
        <v>169</v>
      </c>
      <c r="B29" s="44">
        <v>198</v>
      </c>
      <c r="C29" s="13">
        <v>0</v>
      </c>
      <c r="E29" s="26">
        <v>-180</v>
      </c>
    </row>
    <row r="30" spans="1:10" s="3" customFormat="1" x14ac:dyDescent="0.25">
      <c r="A30" s="20" t="s">
        <v>166</v>
      </c>
      <c r="B30" s="40">
        <f>89.7*B38</f>
        <v>243.98400000000004</v>
      </c>
      <c r="C30" s="16">
        <f>B30</f>
        <v>243.98400000000004</v>
      </c>
      <c r="E30" s="37">
        <v>-49</v>
      </c>
    </row>
    <row r="31" spans="1:10" s="3" customFormat="1" x14ac:dyDescent="0.25">
      <c r="A31" s="20" t="s">
        <v>167</v>
      </c>
      <c r="B31" s="16">
        <v>50</v>
      </c>
      <c r="C31" s="16">
        <f>B31</f>
        <v>50</v>
      </c>
      <c r="E31" s="37">
        <f>SUM(E28:E30)</f>
        <v>83</v>
      </c>
    </row>
    <row r="32" spans="1:10" x14ac:dyDescent="0.25">
      <c r="C32" s="13">
        <v>0</v>
      </c>
      <c r="I32" s="7"/>
    </row>
    <row r="33" spans="1:10" ht="15.75" thickBot="1" x14ac:dyDescent="0.3">
      <c r="A33" s="4" t="s">
        <v>31</v>
      </c>
      <c r="B33" s="4">
        <f>SUM(C2:C31)</f>
        <v>3131.0208790000001</v>
      </c>
      <c r="C33" s="13">
        <v>0</v>
      </c>
      <c r="I33" s="7" t="s">
        <v>34</v>
      </c>
    </row>
    <row r="34" spans="1:10" x14ac:dyDescent="0.25">
      <c r="A34" s="51" t="s">
        <v>24</v>
      </c>
      <c r="B34" s="52">
        <f>B36-B33</f>
        <v>574.54</v>
      </c>
      <c r="C34" s="62">
        <f>B34+E39</f>
        <v>574.97912099999985</v>
      </c>
      <c r="E34" s="4">
        <f>C34-D34</f>
        <v>574.97912099999985</v>
      </c>
      <c r="G34" s="4">
        <v>15013</v>
      </c>
      <c r="H34" s="4">
        <f>B16/2.8</f>
        <v>116.25959964285715</v>
      </c>
      <c r="I34" s="7">
        <f>433.66*(G34)/(G34+G35)</f>
        <v>325.52687900000001</v>
      </c>
      <c r="J34" s="7">
        <f>(G34)/(G34+G35)</f>
        <v>0.75065000000000004</v>
      </c>
    </row>
    <row r="35" spans="1:10" x14ac:dyDescent="0.25">
      <c r="A35" s="54"/>
      <c r="B35" s="49"/>
      <c r="C35" s="55"/>
      <c r="G35" s="4">
        <v>4987</v>
      </c>
      <c r="I35" s="7"/>
    </row>
    <row r="36" spans="1:10" ht="15.75" x14ac:dyDescent="0.25">
      <c r="A36" s="54" t="s">
        <v>20</v>
      </c>
      <c r="B36" s="50">
        <f>SUM(B2:B22)+SUM(B27:B32)</f>
        <v>3705.5608790000001</v>
      </c>
      <c r="C36" s="56"/>
      <c r="E36" s="25"/>
      <c r="G36" s="4">
        <f>SUM(G34:G35)</f>
        <v>20000</v>
      </c>
      <c r="I36" s="26">
        <f>2200/B38</f>
        <v>808.82352941176464</v>
      </c>
    </row>
    <row r="37" spans="1:10" x14ac:dyDescent="0.25">
      <c r="A37" s="54"/>
      <c r="B37" s="49">
        <f>B36</f>
        <v>3705.5608790000001</v>
      </c>
      <c r="C37" s="55"/>
      <c r="D37" s="26"/>
    </row>
    <row r="38" spans="1:10" x14ac:dyDescent="0.25">
      <c r="A38" s="57"/>
      <c r="B38" s="49">
        <f>2.72</f>
        <v>2.72</v>
      </c>
      <c r="C38" s="55"/>
      <c r="D38" s="7"/>
      <c r="E38" s="7" t="s">
        <v>78</v>
      </c>
      <c r="G38" s="4">
        <f>G34/B38</f>
        <v>5519.4852941176468</v>
      </c>
    </row>
    <row r="39" spans="1:10" ht="15.75" thickBot="1" x14ac:dyDescent="0.3">
      <c r="A39" s="58"/>
      <c r="B39" s="59"/>
      <c r="C39" s="60"/>
      <c r="D39" s="7"/>
      <c r="E39" s="7">
        <f>3706-B36</f>
        <v>0.43912099999988641</v>
      </c>
      <c r="F39" s="7"/>
    </row>
    <row r="40" spans="1:10" x14ac:dyDescent="0.25">
      <c r="E40" s="7">
        <f>E39/B38</f>
        <v>0.16144154411760528</v>
      </c>
      <c r="F40" s="7"/>
    </row>
    <row r="41" spans="1:10" x14ac:dyDescent="0.25">
      <c r="F41" s="7"/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orientation="portrait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5"/>
  <sheetViews>
    <sheetView topLeftCell="A13" zoomScale="73" zoomScaleNormal="73" workbookViewId="0">
      <selection activeCell="D41" sqref="D41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5" ht="18.75" x14ac:dyDescent="0.3">
      <c r="A1" s="27" t="s">
        <v>56</v>
      </c>
      <c r="C1" s="4" t="s">
        <v>2</v>
      </c>
      <c r="D1" s="7"/>
    </row>
    <row r="2" spans="1:15" s="3" customFormat="1" x14ac:dyDescent="0.25">
      <c r="A2" s="16" t="s">
        <v>4</v>
      </c>
      <c r="B2" s="16">
        <v>500</v>
      </c>
      <c r="C2" s="16">
        <v>500</v>
      </c>
      <c r="I2" s="24"/>
    </row>
    <row r="3" spans="1:15" s="3" customFormat="1" x14ac:dyDescent="0.25">
      <c r="A3" s="16" t="s">
        <v>7</v>
      </c>
      <c r="B3" s="16">
        <v>173.5</v>
      </c>
      <c r="C3" s="16">
        <f>B3</f>
        <v>173.5</v>
      </c>
      <c r="E3" s="5"/>
    </row>
    <row r="4" spans="1:15" s="3" customFormat="1" x14ac:dyDescent="0.25">
      <c r="A4" s="16" t="s">
        <v>201</v>
      </c>
      <c r="B4" s="16">
        <v>127</v>
      </c>
      <c r="C4" s="16">
        <f>B4</f>
        <v>127</v>
      </c>
      <c r="E4" s="5"/>
    </row>
    <row r="5" spans="1:15" s="3" customFormat="1" x14ac:dyDescent="0.25">
      <c r="A5" s="16" t="s">
        <v>196</v>
      </c>
      <c r="B5" s="16">
        <v>0</v>
      </c>
      <c r="C5" s="16">
        <v>0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5" s="3" customFormat="1" x14ac:dyDescent="0.25">
      <c r="A8" s="16" t="s">
        <v>118</v>
      </c>
      <c r="B8" s="16">
        <v>32</v>
      </c>
      <c r="C8" s="16">
        <f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f>300/3</f>
        <v>100</v>
      </c>
      <c r="C9" s="16">
        <f>B9</f>
        <v>100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>B10</f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ref="C11:C12" si="0">B11</f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 t="shared" ref="C13:C21" si="1"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 t="shared" si="1"/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f>113.5+24.35</f>
        <v>137.85</v>
      </c>
      <c r="C15" s="16">
        <f t="shared" si="1"/>
        <v>137.85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f t="shared" si="1"/>
        <v>10</v>
      </c>
      <c r="E16" s="3">
        <f>SUM(E13:E15)</f>
        <v>1463.526879</v>
      </c>
      <c r="G16" s="3">
        <f>G14+G15</f>
        <v>793.52687900000001</v>
      </c>
      <c r="I16" s="5"/>
    </row>
    <row r="17" spans="1:14" s="3" customFormat="1" x14ac:dyDescent="0.25">
      <c r="A17" s="16" t="s">
        <v>26</v>
      </c>
      <c r="B17" s="16">
        <f>I33</f>
        <v>325.52687900000001</v>
      </c>
      <c r="C17" s="16">
        <f t="shared" si="1"/>
        <v>325.52687900000001</v>
      </c>
      <c r="I17" s="5"/>
    </row>
    <row r="18" spans="1:14" s="3" customFormat="1" x14ac:dyDescent="0.25">
      <c r="A18" s="16" t="s">
        <v>199</v>
      </c>
      <c r="B18" s="16">
        <f>100*B37</f>
        <v>272</v>
      </c>
      <c r="C18" s="16">
        <f t="shared" si="1"/>
        <v>272</v>
      </c>
      <c r="I18" s="5"/>
    </row>
    <row r="19" spans="1:14" s="3" customFormat="1" x14ac:dyDescent="0.25">
      <c r="A19" s="16" t="s">
        <v>32</v>
      </c>
      <c r="B19" s="16">
        <v>200</v>
      </c>
      <c r="C19" s="16">
        <f t="shared" si="1"/>
        <v>200</v>
      </c>
      <c r="I19" s="5"/>
    </row>
    <row r="20" spans="1:14" s="3" customFormat="1" x14ac:dyDescent="0.25">
      <c r="A20" s="16" t="s">
        <v>84</v>
      </c>
      <c r="B20" s="40">
        <v>155</v>
      </c>
      <c r="C20" s="16">
        <f t="shared" si="1"/>
        <v>155</v>
      </c>
      <c r="I20" s="5"/>
    </row>
    <row r="21" spans="1:14" s="3" customFormat="1" x14ac:dyDescent="0.25">
      <c r="A21" s="16" t="s">
        <v>79</v>
      </c>
      <c r="B21" s="16">
        <f>21*8.5</f>
        <v>178.5</v>
      </c>
      <c r="C21" s="16">
        <f t="shared" si="1"/>
        <v>178.5</v>
      </c>
      <c r="D21" s="16"/>
      <c r="J21" s="5"/>
    </row>
    <row r="22" spans="1:14" s="3" customFormat="1" x14ac:dyDescent="0.25">
      <c r="A22" s="16" t="s">
        <v>87</v>
      </c>
      <c r="B22" s="16">
        <f>21*(0.5+1+1+2+1+0.5)</f>
        <v>126</v>
      </c>
      <c r="C22" s="16">
        <f t="shared" ref="C22:C23" si="2">B22</f>
        <v>126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4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4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4" x14ac:dyDescent="0.25">
      <c r="A25" s="23" t="s">
        <v>179</v>
      </c>
      <c r="B25" s="13">
        <v>0</v>
      </c>
      <c r="C25" s="13">
        <v>0</v>
      </c>
    </row>
    <row r="26" spans="1:14" s="3" customFormat="1" x14ac:dyDescent="0.25">
      <c r="A26" s="45" t="s">
        <v>197</v>
      </c>
      <c r="B26" s="16">
        <v>0</v>
      </c>
      <c r="C26" s="16">
        <v>0</v>
      </c>
    </row>
    <row r="27" spans="1:14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4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4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4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4" x14ac:dyDescent="0.25">
      <c r="C31" s="13">
        <v>0</v>
      </c>
      <c r="I31" s="7"/>
    </row>
    <row r="32" spans="1:14" ht="15.75" thickBot="1" x14ac:dyDescent="0.3">
      <c r="A32" s="4" t="s">
        <v>31</v>
      </c>
      <c r="B32" s="4">
        <f>SUM(C2:C30)</f>
        <v>3621.890879</v>
      </c>
      <c r="C32" s="13">
        <v>0</v>
      </c>
      <c r="I32" s="7" t="s">
        <v>34</v>
      </c>
    </row>
    <row r="33" spans="1:14" x14ac:dyDescent="0.25">
      <c r="A33" s="51" t="s">
        <v>24</v>
      </c>
      <c r="B33" s="52">
        <f>B35-B32</f>
        <v>0</v>
      </c>
      <c r="C33" s="62">
        <f>B33+E37</f>
        <v>6878.1091209999995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</row>
    <row r="34" spans="1:14" x14ac:dyDescent="0.25">
      <c r="A34" s="54"/>
      <c r="B34" s="49"/>
      <c r="C34" s="55"/>
      <c r="G34" s="4">
        <v>4987</v>
      </c>
      <c r="I34" s="7"/>
      <c r="N34" s="4">
        <v>268</v>
      </c>
    </row>
    <row r="35" spans="1:14" ht="15.75" x14ac:dyDescent="0.25">
      <c r="A35" s="54" t="s">
        <v>20</v>
      </c>
      <c r="B35" s="50">
        <f>SUM(B2:B23)+SUM(B25:B30)</f>
        <v>3621.890879</v>
      </c>
      <c r="C35" s="56"/>
      <c r="E35" s="25"/>
      <c r="G35" s="4">
        <f>SUM(G33:G34)</f>
        <v>20000</v>
      </c>
      <c r="I35" s="26">
        <f>2200/B37</f>
        <v>808.82352941176464</v>
      </c>
      <c r="N35" s="4">
        <f>B33-N34</f>
        <v>-268</v>
      </c>
    </row>
    <row r="36" spans="1:14" x14ac:dyDescent="0.25">
      <c r="A36" s="54"/>
      <c r="B36" s="49">
        <f>B35</f>
        <v>3621.890879</v>
      </c>
      <c r="C36" s="55"/>
      <c r="D36" s="26"/>
      <c r="E36" s="7" t="s">
        <v>78</v>
      </c>
      <c r="G36" s="4">
        <f>G33/B37</f>
        <v>5519.4852941176468</v>
      </c>
      <c r="N36" s="4">
        <v>-260</v>
      </c>
    </row>
    <row r="37" spans="1:14" x14ac:dyDescent="0.25">
      <c r="A37" s="57"/>
      <c r="B37" s="49">
        <f>2.72</f>
        <v>2.72</v>
      </c>
      <c r="C37" s="55"/>
      <c r="D37" s="64">
        <f>4434.5</f>
        <v>4434.5</v>
      </c>
      <c r="E37" s="7">
        <f>10500-B35</f>
        <v>6878.1091209999995</v>
      </c>
      <c r="F37" s="7"/>
      <c r="N37" s="4">
        <f>SUM(N35:N36)</f>
        <v>-528</v>
      </c>
    </row>
    <row r="38" spans="1:14" ht="15.75" thickBot="1" x14ac:dyDescent="0.3">
      <c r="A38" s="58"/>
      <c r="B38" s="59"/>
      <c r="C38" s="60"/>
      <c r="D38" s="7">
        <v>1078</v>
      </c>
      <c r="E38" s="7">
        <f>E37/B37</f>
        <v>2528.7165886029406</v>
      </c>
      <c r="F38" s="7"/>
    </row>
    <row r="39" spans="1:14" x14ac:dyDescent="0.25">
      <c r="A39" s="13"/>
      <c r="B39" s="13"/>
      <c r="C39" s="13"/>
      <c r="D39" s="7">
        <v>1078</v>
      </c>
      <c r="E39" s="7"/>
      <c r="F39" s="7"/>
    </row>
    <row r="40" spans="1:14" x14ac:dyDescent="0.25">
      <c r="A40" s="13"/>
      <c r="B40" s="13"/>
      <c r="C40" s="13"/>
      <c r="D40" s="7">
        <v>3500</v>
      </c>
      <c r="E40" s="7"/>
      <c r="F40" s="7"/>
    </row>
    <row r="41" spans="1:14" x14ac:dyDescent="0.25">
      <c r="A41" s="13"/>
      <c r="B41" s="13"/>
      <c r="C41" s="13"/>
      <c r="D41" s="7"/>
      <c r="E41" s="7"/>
      <c r="F41" s="7"/>
    </row>
    <row r="42" spans="1:14" x14ac:dyDescent="0.25">
      <c r="A42" s="13"/>
      <c r="B42" s="13"/>
      <c r="C42" s="13"/>
      <c r="D42" s="7"/>
      <c r="E42" s="7"/>
      <c r="F42" s="7"/>
    </row>
    <row r="44" spans="1:14" x14ac:dyDescent="0.25">
      <c r="B44" s="4">
        <f>B35*3</f>
        <v>10865.672637</v>
      </c>
      <c r="D44" s="4">
        <f>SUM(D37:D43)</f>
        <v>10090.5</v>
      </c>
      <c r="F44" s="7"/>
    </row>
    <row r="45" spans="1:14" x14ac:dyDescent="0.25">
      <c r="B45" s="4">
        <f>B36*2</f>
        <v>7243.7817580000001</v>
      </c>
    </row>
    <row r="54" spans="1:2" x14ac:dyDescent="0.25">
      <c r="A54" s="7"/>
    </row>
    <row r="55" spans="1:2" x14ac:dyDescent="0.25">
      <c r="B55" s="26"/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1"/>
  <sheetViews>
    <sheetView zoomScale="70" zoomScaleNormal="70" workbookViewId="0">
      <selection activeCell="B21" sqref="B21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6" ht="18.75" x14ac:dyDescent="0.3">
      <c r="A1" s="27" t="s">
        <v>57</v>
      </c>
      <c r="C1" s="4" t="s">
        <v>2</v>
      </c>
      <c r="D1" s="7"/>
    </row>
    <row r="2" spans="1:16" s="3" customFormat="1" x14ac:dyDescent="0.25">
      <c r="A2" s="16" t="s">
        <v>4</v>
      </c>
      <c r="B2" s="16">
        <v>400</v>
      </c>
      <c r="C2" s="16">
        <f>B2</f>
        <v>400</v>
      </c>
      <c r="I2" s="24"/>
    </row>
    <row r="3" spans="1:16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6" s="3" customFormat="1" x14ac:dyDescent="0.25">
      <c r="A4" s="16" t="s">
        <v>201</v>
      </c>
      <c r="B4" s="16">
        <v>77</v>
      </c>
      <c r="C4" s="16">
        <f>B4</f>
        <v>77</v>
      </c>
      <c r="E4" s="5"/>
    </row>
    <row r="5" spans="1:16" s="3" customFormat="1" x14ac:dyDescent="0.25">
      <c r="A5" s="16" t="s">
        <v>196</v>
      </c>
      <c r="B5" s="16">
        <f>28*B37</f>
        <v>76.160000000000011</v>
      </c>
      <c r="C5" s="16">
        <f>B5</f>
        <v>76.160000000000011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6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6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6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6" s="3" customFormat="1" x14ac:dyDescent="0.25">
      <c r="A9" s="16" t="s">
        <v>191</v>
      </c>
      <c r="B9" s="16">
        <f>300/3</f>
        <v>100</v>
      </c>
      <c r="C9" s="16">
        <f t="shared" si="0"/>
        <v>100</v>
      </c>
      <c r="I9" s="5"/>
    </row>
    <row r="10" spans="1:16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6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6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6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  <c r="P13" s="3">
        <v>3100</v>
      </c>
    </row>
    <row r="14" spans="1:16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  <c r="P14" s="3">
        <v>1400</v>
      </c>
    </row>
    <row r="15" spans="1:16" s="3" customFormat="1" ht="15.75" thickBot="1" x14ac:dyDescent="0.3">
      <c r="A15" s="16" t="s">
        <v>94</v>
      </c>
      <c r="B15" s="16">
        <v>133.16</v>
      </c>
      <c r="C15" s="16">
        <v>133.16</v>
      </c>
      <c r="E15" s="61"/>
      <c r="G15" s="3">
        <f>100*2.6</f>
        <v>260</v>
      </c>
      <c r="P15" s="3">
        <f>SUM(P13:P14)</f>
        <v>4500</v>
      </c>
    </row>
    <row r="16" spans="1:16" s="3" customFormat="1" x14ac:dyDescent="0.25">
      <c r="A16" s="16" t="s">
        <v>17</v>
      </c>
      <c r="B16" s="16">
        <v>10</v>
      </c>
      <c r="C16" s="16">
        <f>B16</f>
        <v>10</v>
      </c>
      <c r="E16" s="3">
        <f>SUM(E13:E15)</f>
        <v>1463.526879</v>
      </c>
      <c r="G16" s="3">
        <f>G14+G15</f>
        <v>793.52687900000001</v>
      </c>
      <c r="I16" s="5"/>
    </row>
    <row r="17" spans="1:17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7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7" s="3" customFormat="1" x14ac:dyDescent="0.25">
      <c r="A19" s="16" t="s">
        <v>32</v>
      </c>
      <c r="B19" s="16">
        <v>200</v>
      </c>
      <c r="C19" s="16">
        <f>B19</f>
        <v>200</v>
      </c>
      <c r="I19" s="5"/>
    </row>
    <row r="20" spans="1:17" s="3" customFormat="1" x14ac:dyDescent="0.25">
      <c r="A20" s="16" t="s">
        <v>84</v>
      </c>
      <c r="B20" s="40">
        <v>155</v>
      </c>
      <c r="C20" s="16">
        <f>B20</f>
        <v>155</v>
      </c>
      <c r="I20" s="5"/>
      <c r="Q20" s="3">
        <v>312</v>
      </c>
    </row>
    <row r="21" spans="1:17" x14ac:dyDescent="0.25">
      <c r="A21" s="13" t="s">
        <v>79</v>
      </c>
      <c r="B21" s="13">
        <f>22*8.5</f>
        <v>187</v>
      </c>
      <c r="C21" s="13">
        <f>B21*(12/22)</f>
        <v>101.99999999999999</v>
      </c>
      <c r="D21" s="13"/>
      <c r="J21" s="7"/>
      <c r="Q21" s="4">
        <v>-237</v>
      </c>
    </row>
    <row r="22" spans="1:17" x14ac:dyDescent="0.25">
      <c r="A22" s="13" t="s">
        <v>87</v>
      </c>
      <c r="B22" s="13">
        <f>22*(0.5+1+1+2+1+0.5)</f>
        <v>132</v>
      </c>
      <c r="C22" s="13">
        <f t="shared" ref="C22:C23" si="1">B22*(12/22)</f>
        <v>72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Q22" s="4">
        <f>SUM(Q20:Q21)</f>
        <v>75</v>
      </c>
    </row>
    <row r="23" spans="1:17" x14ac:dyDescent="0.25">
      <c r="A23" s="13" t="s">
        <v>89</v>
      </c>
      <c r="B23" s="13">
        <f>(1.5+1.5)*22</f>
        <v>66</v>
      </c>
      <c r="C23" s="13">
        <f t="shared" si="1"/>
        <v>36</v>
      </c>
      <c r="D23" s="13"/>
      <c r="F23" s="4">
        <v>1500</v>
      </c>
      <c r="J23" s="7"/>
    </row>
    <row r="24" spans="1:17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7" x14ac:dyDescent="0.25">
      <c r="A25" s="23" t="s">
        <v>179</v>
      </c>
      <c r="B25" s="13">
        <v>0</v>
      </c>
      <c r="C25" s="13">
        <v>0</v>
      </c>
    </row>
    <row r="26" spans="1:17" x14ac:dyDescent="0.25">
      <c r="A26" s="23" t="s">
        <v>197</v>
      </c>
      <c r="B26" s="13">
        <v>0</v>
      </c>
      <c r="C26" s="13">
        <v>0</v>
      </c>
    </row>
    <row r="27" spans="1:17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7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7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7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7" x14ac:dyDescent="0.25">
      <c r="C31" s="13">
        <v>0</v>
      </c>
      <c r="I31" s="7"/>
    </row>
    <row r="32" spans="1:17" ht="15.75" thickBot="1" x14ac:dyDescent="0.3">
      <c r="A32" s="4" t="s">
        <v>31</v>
      </c>
      <c r="B32" s="4">
        <f>SUM(C2:C30)</f>
        <v>3387.5108789999999</v>
      </c>
      <c r="C32" s="13">
        <v>0</v>
      </c>
      <c r="I32" s="7" t="s">
        <v>34</v>
      </c>
    </row>
    <row r="33" spans="1:18" x14ac:dyDescent="0.25">
      <c r="A33" s="51" t="s">
        <v>24</v>
      </c>
      <c r="B33" s="52">
        <f>B35-B32</f>
        <v>175</v>
      </c>
      <c r="C33" s="62">
        <f>B33+E37</f>
        <v>7112.4891210000005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4">
        <f>B33+250</f>
        <v>425</v>
      </c>
    </row>
    <row r="34" spans="1:18" x14ac:dyDescent="0.25">
      <c r="A34" s="54"/>
      <c r="B34" s="49"/>
      <c r="C34" s="55"/>
      <c r="G34" s="4">
        <v>4987</v>
      </c>
      <c r="I34" s="7"/>
      <c r="M34" s="4">
        <v>-2242</v>
      </c>
    </row>
    <row r="35" spans="1:18" ht="15.75" x14ac:dyDescent="0.25">
      <c r="A35" s="54" t="s">
        <v>20</v>
      </c>
      <c r="B35" s="50">
        <f>SUM(B2:B23)+SUM(B25:B30)</f>
        <v>3562.5108789999999</v>
      </c>
      <c r="C35" s="56"/>
      <c r="E35" s="25"/>
      <c r="G35" s="4">
        <f>SUM(G33:G34)</f>
        <v>20000</v>
      </c>
      <c r="I35" s="26">
        <f>2200/B37</f>
        <v>808.82352941176464</v>
      </c>
      <c r="M35" s="4">
        <f>SUM(M33:M34)</f>
        <v>-1817</v>
      </c>
      <c r="Q35" s="4">
        <v>174.3</v>
      </c>
      <c r="R35" s="4">
        <v>174.3</v>
      </c>
    </row>
    <row r="36" spans="1:18" x14ac:dyDescent="0.25">
      <c r="A36" s="54"/>
      <c r="B36" s="49">
        <f>B35</f>
        <v>3562.5108789999999</v>
      </c>
      <c r="C36" s="55"/>
      <c r="D36" s="26"/>
      <c r="E36" s="7" t="s">
        <v>78</v>
      </c>
      <c r="G36" s="4">
        <f>G33/B37</f>
        <v>5519.4852941176468</v>
      </c>
      <c r="Q36" s="4">
        <v>50</v>
      </c>
      <c r="R36" s="4">
        <v>300</v>
      </c>
    </row>
    <row r="37" spans="1:18" x14ac:dyDescent="0.25">
      <c r="A37" s="57"/>
      <c r="B37" s="49">
        <f>2.72</f>
        <v>2.72</v>
      </c>
      <c r="C37" s="55"/>
      <c r="D37" s="64">
        <f>4270.2</f>
        <v>4270.2</v>
      </c>
      <c r="E37" s="7">
        <f>10500-B35</f>
        <v>6937.4891210000005</v>
      </c>
      <c r="F37" s="7"/>
      <c r="Q37" s="4">
        <f>SUM(Q35:Q36)</f>
        <v>224.3</v>
      </c>
      <c r="R37" s="4">
        <f>SUM(R35:R36)</f>
        <v>474.3</v>
      </c>
    </row>
    <row r="38" spans="1:18" ht="15.75" thickBot="1" x14ac:dyDescent="0.3">
      <c r="A38" s="58"/>
      <c r="B38" s="59"/>
      <c r="C38" s="60"/>
      <c r="D38" s="7">
        <v>1078</v>
      </c>
      <c r="E38" s="7">
        <f>E37/B37</f>
        <v>2550.5474709558825</v>
      </c>
      <c r="F38" s="7"/>
      <c r="R38" s="4">
        <v>2</v>
      </c>
    </row>
    <row r="39" spans="1:18" x14ac:dyDescent="0.25">
      <c r="D39" s="7">
        <v>3600</v>
      </c>
      <c r="E39" s="7"/>
      <c r="R39" s="4">
        <f>SUM(R37:R38)</f>
        <v>476.3</v>
      </c>
    </row>
    <row r="40" spans="1:18" x14ac:dyDescent="0.25">
      <c r="B40" s="4">
        <f>B35*3</f>
        <v>10687.532637</v>
      </c>
      <c r="D40" s="7"/>
      <c r="E40" s="7"/>
      <c r="F40" s="7"/>
      <c r="N40" s="4">
        <v>1766</v>
      </c>
    </row>
    <row r="41" spans="1:18" x14ac:dyDescent="0.25">
      <c r="D41" s="7"/>
      <c r="E41" s="7"/>
      <c r="N41" s="4">
        <v>-1343</v>
      </c>
    </row>
    <row r="42" spans="1:18" x14ac:dyDescent="0.25">
      <c r="E42" s="7"/>
      <c r="N42" s="4">
        <f>SUM(N40:N41)</f>
        <v>423</v>
      </c>
    </row>
    <row r="43" spans="1:18" x14ac:dyDescent="0.25">
      <c r="C43" s="4">
        <f>B40-D43</f>
        <v>1739.3326369999995</v>
      </c>
      <c r="D43" s="4">
        <f>SUM(D37:D42)</f>
        <v>8948.2000000000007</v>
      </c>
    </row>
    <row r="44" spans="1:18" x14ac:dyDescent="0.25">
      <c r="D44" s="4">
        <f>D43/B35</f>
        <v>2.5117677682746526</v>
      </c>
    </row>
    <row r="50" spans="1:2" x14ac:dyDescent="0.25">
      <c r="A50" s="7"/>
    </row>
    <row r="51" spans="1:2" x14ac:dyDescent="0.25">
      <c r="B51" s="26"/>
    </row>
  </sheetData>
  <pageMargins left="0.7" right="0.7" top="0.75" bottom="0.75" header="0.3" footer="0.3"/>
  <pageSetup orientation="portrait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9"/>
  <sheetViews>
    <sheetView zoomScale="70" zoomScaleNormal="70" workbookViewId="0">
      <selection activeCell="B22" sqref="B22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58</v>
      </c>
      <c r="C1" s="4" t="s">
        <v>2</v>
      </c>
      <c r="D1" s="7"/>
    </row>
    <row r="2" spans="1:15" x14ac:dyDescent="0.25">
      <c r="A2" s="13" t="s">
        <v>4</v>
      </c>
      <c r="B2" s="13">
        <v>400</v>
      </c>
      <c r="C2" s="13">
        <v>300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63*B37</f>
        <v>171.36</v>
      </c>
      <c r="C5" s="16">
        <f>B5</f>
        <v>171.36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608.66999999999996</v>
      </c>
    </row>
    <row r="8" spans="1:15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v>166.67</v>
      </c>
      <c r="C9" s="16">
        <f t="shared" si="0"/>
        <v>166.67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v>133.16</v>
      </c>
      <c r="C15" s="16">
        <f>B15</f>
        <v>133.16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v>10</v>
      </c>
      <c r="E16" s="3">
        <f>SUM(E13:E15)</f>
        <v>1463.526879</v>
      </c>
      <c r="G16" s="3">
        <f>G14+G15</f>
        <v>793.52687900000001</v>
      </c>
      <c r="I16" s="5"/>
    </row>
    <row r="17" spans="1:16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6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6" s="3" customFormat="1" x14ac:dyDescent="0.25">
      <c r="A19" s="16" t="s">
        <v>32</v>
      </c>
      <c r="B19" s="16">
        <v>0</v>
      </c>
      <c r="C19" s="16">
        <v>0</v>
      </c>
      <c r="I19" s="5"/>
    </row>
    <row r="20" spans="1:16" x14ac:dyDescent="0.25">
      <c r="A20" s="13" t="s">
        <v>84</v>
      </c>
      <c r="B20" s="44">
        <v>155</v>
      </c>
      <c r="C20" s="13">
        <v>100</v>
      </c>
      <c r="I20" s="7"/>
      <c r="P20" s="4">
        <v>-3322</v>
      </c>
    </row>
    <row r="21" spans="1:16" x14ac:dyDescent="0.25">
      <c r="A21" s="13" t="s">
        <v>79</v>
      </c>
      <c r="B21" s="13">
        <f>22*8.5</f>
        <v>187</v>
      </c>
      <c r="C21" s="13">
        <f>B21*7/22</f>
        <v>59.5</v>
      </c>
      <c r="D21" s="13"/>
      <c r="J21" s="7"/>
      <c r="P21" s="4">
        <v>4479</v>
      </c>
    </row>
    <row r="22" spans="1:16" x14ac:dyDescent="0.25">
      <c r="A22" s="13" t="s">
        <v>87</v>
      </c>
      <c r="B22" s="13">
        <f>22*(0.5+1+1+2+1+0.5)</f>
        <v>132</v>
      </c>
      <c r="C22" s="13">
        <f t="shared" ref="C22:C23" si="1">B22*7/22</f>
        <v>42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P22" s="4">
        <f>SUM(P20:P21)</f>
        <v>1157</v>
      </c>
    </row>
    <row r="23" spans="1:16" x14ac:dyDescent="0.25">
      <c r="A23" s="13" t="s">
        <v>89</v>
      </c>
      <c r="B23" s="13">
        <v>58</v>
      </c>
      <c r="C23" s="13">
        <f t="shared" si="1"/>
        <v>18.454545454545453</v>
      </c>
      <c r="D23" s="13"/>
      <c r="F23" s="4">
        <v>1500</v>
      </c>
      <c r="J23" s="7"/>
    </row>
    <row r="24" spans="1:16" x14ac:dyDescent="0.25">
      <c r="A24" s="23" t="s">
        <v>61</v>
      </c>
      <c r="B24" s="13"/>
      <c r="C24" s="13">
        <v>0</v>
      </c>
      <c r="E24" s="4">
        <f>SUM(E21:E21)</f>
        <v>0</v>
      </c>
    </row>
    <row r="25" spans="1:16" x14ac:dyDescent="0.25">
      <c r="A25" s="23" t="s">
        <v>179</v>
      </c>
      <c r="B25" s="13">
        <v>0</v>
      </c>
      <c r="C25" s="13">
        <v>0</v>
      </c>
      <c r="M25" s="65" t="s">
        <v>207</v>
      </c>
      <c r="N25" s="65">
        <v>4455</v>
      </c>
    </row>
    <row r="26" spans="1:16" x14ac:dyDescent="0.25">
      <c r="A26" s="23" t="s">
        <v>197</v>
      </c>
      <c r="B26" s="13">
        <v>0</v>
      </c>
      <c r="C26" s="13">
        <v>0</v>
      </c>
      <c r="M26" s="65"/>
      <c r="N26" s="65"/>
    </row>
    <row r="27" spans="1:16" x14ac:dyDescent="0.25">
      <c r="A27" s="22" t="s">
        <v>112</v>
      </c>
      <c r="B27" s="13">
        <v>0</v>
      </c>
      <c r="C27" s="13">
        <v>0</v>
      </c>
      <c r="E27" s="26">
        <v>312</v>
      </c>
      <c r="M27" s="65"/>
      <c r="N27" s="65"/>
    </row>
    <row r="28" spans="1:16" x14ac:dyDescent="0.25">
      <c r="A28" s="22" t="s">
        <v>169</v>
      </c>
      <c r="B28" s="44">
        <v>198</v>
      </c>
      <c r="C28" s="13">
        <v>0</v>
      </c>
      <c r="E28" s="26">
        <v>-180</v>
      </c>
      <c r="M28" s="65" t="s">
        <v>204</v>
      </c>
      <c r="N28" s="65">
        <v>2200</v>
      </c>
    </row>
    <row r="29" spans="1:16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  <c r="M29" s="3" t="s">
        <v>205</v>
      </c>
      <c r="N29" s="3">
        <v>2000</v>
      </c>
    </row>
    <row r="30" spans="1:16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  <c r="M30" s="3" t="s">
        <v>206</v>
      </c>
      <c r="N30" s="3">
        <v>0</v>
      </c>
    </row>
    <row r="31" spans="1:16" x14ac:dyDescent="0.25">
      <c r="C31" s="13">
        <v>0</v>
      </c>
      <c r="I31" s="7"/>
      <c r="M31" s="65" t="s">
        <v>208</v>
      </c>
      <c r="N31" s="65">
        <f>1000*B37</f>
        <v>2720</v>
      </c>
    </row>
    <row r="32" spans="1:16" ht="15.75" thickBot="1" x14ac:dyDescent="0.3">
      <c r="A32" s="4" t="s">
        <v>31</v>
      </c>
      <c r="B32" s="4">
        <f>SUM(C2:C30)</f>
        <v>2839.3354244545453</v>
      </c>
      <c r="C32" s="13">
        <v>0</v>
      </c>
      <c r="I32" s="7" t="s">
        <v>34</v>
      </c>
      <c r="M32" s="65"/>
      <c r="N32" s="65"/>
    </row>
    <row r="33" spans="1:14" x14ac:dyDescent="0.25">
      <c r="A33" s="51" t="s">
        <v>24</v>
      </c>
      <c r="B33" s="52">
        <f>B35-B32</f>
        <v>610.0454545454545</v>
      </c>
      <c r="C33" s="62">
        <f>B33+E37</f>
        <v>7660.6645755454538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65"/>
      <c r="N33" s="65"/>
    </row>
    <row r="34" spans="1:14" x14ac:dyDescent="0.25">
      <c r="A34" s="54"/>
      <c r="B34" s="49"/>
      <c r="C34" s="55"/>
      <c r="G34" s="4">
        <v>4987</v>
      </c>
      <c r="I34" s="7"/>
      <c r="M34" s="65"/>
      <c r="N34" s="65">
        <f>SUM(N25:N31)</f>
        <v>11375</v>
      </c>
    </row>
    <row r="35" spans="1:14" ht="15.75" x14ac:dyDescent="0.25">
      <c r="A35" s="54" t="s">
        <v>20</v>
      </c>
      <c r="B35" s="50">
        <f>SUM(B2:B23)+SUM(B25:B30)</f>
        <v>3449.3808789999998</v>
      </c>
      <c r="C35" s="56"/>
      <c r="E35" s="25"/>
      <c r="G35" s="4">
        <f>SUM(G33:G34)</f>
        <v>20000</v>
      </c>
      <c r="I35" s="26">
        <f>2200/B37</f>
        <v>808.82352941176464</v>
      </c>
    </row>
    <row r="36" spans="1:14" x14ac:dyDescent="0.25">
      <c r="A36" s="54"/>
      <c r="B36" s="49">
        <f>B35</f>
        <v>3449.3808789999998</v>
      </c>
      <c r="C36" s="55"/>
      <c r="D36" s="26"/>
      <c r="E36" s="7" t="s">
        <v>78</v>
      </c>
      <c r="G36" s="4">
        <f>G33/B37</f>
        <v>5519.4852941176468</v>
      </c>
    </row>
    <row r="37" spans="1:14" x14ac:dyDescent="0.25">
      <c r="A37" s="57"/>
      <c r="B37" s="49">
        <f>2.72</f>
        <v>2.72</v>
      </c>
      <c r="C37" s="55"/>
      <c r="D37" s="64">
        <f>N34</f>
        <v>11375</v>
      </c>
      <c r="E37" s="7">
        <f>10500-B35</f>
        <v>7050.6191209999997</v>
      </c>
      <c r="F37" s="7"/>
    </row>
    <row r="38" spans="1:14" ht="15.75" thickBot="1" x14ac:dyDescent="0.3">
      <c r="A38" s="58"/>
      <c r="B38" s="59"/>
      <c r="C38" s="60"/>
      <c r="D38" s="7"/>
      <c r="E38" s="7">
        <f>E37/B37</f>
        <v>2592.1393827205879</v>
      </c>
      <c r="F38" s="7"/>
    </row>
    <row r="39" spans="1:14" x14ac:dyDescent="0.25">
      <c r="D39" s="7"/>
      <c r="E39" s="7"/>
    </row>
    <row r="40" spans="1:14" x14ac:dyDescent="0.25">
      <c r="B40" s="4">
        <f>B35*3</f>
        <v>10348.142636999999</v>
      </c>
      <c r="D40" s="7"/>
      <c r="E40" s="7"/>
      <c r="F40" s="7"/>
    </row>
    <row r="41" spans="1:14" x14ac:dyDescent="0.25">
      <c r="C41" s="4">
        <f>B40-D41</f>
        <v>-1026.857363000001</v>
      </c>
      <c r="D41" s="4">
        <f>SUM(D37:D40)</f>
        <v>11375</v>
      </c>
    </row>
    <row r="42" spans="1:14" x14ac:dyDescent="0.25">
      <c r="D42" s="4">
        <f>D41/B35</f>
        <v>3.297693238010206</v>
      </c>
    </row>
    <row r="48" spans="1:14" x14ac:dyDescent="0.25">
      <c r="A48" s="7"/>
    </row>
    <row r="49" spans="2:2" x14ac:dyDescent="0.25">
      <c r="B49" s="26"/>
    </row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6"/>
  <sheetViews>
    <sheetView zoomScale="70" zoomScaleNormal="70" workbookViewId="0">
      <selection activeCell="C2" sqref="C2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0</v>
      </c>
      <c r="C1" s="4" t="s">
        <v>2</v>
      </c>
      <c r="D1" s="7"/>
    </row>
    <row r="2" spans="1:15" s="3" customFormat="1" x14ac:dyDescent="0.25">
      <c r="A2" s="16" t="s">
        <v>4</v>
      </c>
      <c r="B2" s="16">
        <v>400</v>
      </c>
      <c r="C2" s="16">
        <f>B2</f>
        <v>400</v>
      </c>
      <c r="I2" s="24"/>
      <c r="O2" s="3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28*B34</f>
        <v>76.160000000000011</v>
      </c>
      <c r="C5" s="16">
        <f>B5</f>
        <v>76.160000000000011</v>
      </c>
      <c r="E5" s="5" t="s">
        <v>194</v>
      </c>
      <c r="F5" s="5" t="e">
        <f>SUM(#REF!)</f>
        <v>#REF!</v>
      </c>
      <c r="G5" s="3" t="e">
        <f>SUM(B13,B14)-#REF!</f>
        <v>#REF!</v>
      </c>
      <c r="H5" s="3" t="e">
        <f>F5+G5</f>
        <v>#REF!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210</v>
      </c>
      <c r="B7" s="16">
        <v>160</v>
      </c>
      <c r="C7" s="16">
        <v>160</v>
      </c>
      <c r="I7" s="5"/>
    </row>
    <row r="8" spans="1:15" s="3" customFormat="1" ht="15.75" thickBot="1" x14ac:dyDescent="0.3">
      <c r="A8" s="16" t="s">
        <v>211</v>
      </c>
      <c r="B8" s="16">
        <v>80</v>
      </c>
      <c r="C8" s="16">
        <f>B8</f>
        <v>80</v>
      </c>
      <c r="E8" s="3">
        <f>B8</f>
        <v>80</v>
      </c>
      <c r="I8" s="5">
        <v>7779</v>
      </c>
      <c r="J8" s="3">
        <v>-1300</v>
      </c>
      <c r="K8" s="3">
        <f>SUM(I8:J8)</f>
        <v>6479</v>
      </c>
    </row>
    <row r="9" spans="1:15" s="3" customFormat="1" ht="15.75" thickBot="1" x14ac:dyDescent="0.3">
      <c r="A9" s="16" t="s">
        <v>186</v>
      </c>
      <c r="B9" s="16">
        <v>67</v>
      </c>
      <c r="C9" s="16">
        <f t="shared" ref="C9:C14" si="0">B9</f>
        <v>67</v>
      </c>
      <c r="E9" s="61">
        <f>SUM(E7:E8)</f>
        <v>80</v>
      </c>
    </row>
    <row r="10" spans="1:15" s="3" customFormat="1" ht="15.75" thickBot="1" x14ac:dyDescent="0.3">
      <c r="A10" s="16" t="s">
        <v>13</v>
      </c>
      <c r="B10" s="16">
        <f>152.53</f>
        <v>152.53</v>
      </c>
      <c r="C10" s="16">
        <f t="shared" si="0"/>
        <v>152.53</v>
      </c>
      <c r="E10" s="3" t="e">
        <f>G5</f>
        <v>#REF!</v>
      </c>
      <c r="F10" s="3">
        <v>-32</v>
      </c>
      <c r="G10" s="3" t="e">
        <f>E10+F10</f>
        <v>#REF!</v>
      </c>
      <c r="K10" s="3" t="e">
        <f>SUM(#REF!)</f>
        <v>#REF!</v>
      </c>
    </row>
    <row r="11" spans="1:15" s="3" customFormat="1" ht="15.75" thickBot="1" x14ac:dyDescent="0.3">
      <c r="A11" s="16" t="s">
        <v>94</v>
      </c>
      <c r="B11" s="16">
        <v>138.19999999999999</v>
      </c>
      <c r="C11" s="16">
        <f t="shared" si="0"/>
        <v>138.19999999999999</v>
      </c>
      <c r="E11" s="61"/>
      <c r="G11" s="3">
        <f>100*2.6</f>
        <v>260</v>
      </c>
    </row>
    <row r="12" spans="1:15" s="3" customFormat="1" x14ac:dyDescent="0.25">
      <c r="A12" s="16" t="s">
        <v>17</v>
      </c>
      <c r="B12" s="16">
        <v>10</v>
      </c>
      <c r="C12" s="16">
        <f t="shared" si="0"/>
        <v>10</v>
      </c>
      <c r="E12" s="3" t="e">
        <f>SUM(E9:E11)</f>
        <v>#REF!</v>
      </c>
      <c r="G12" s="3" t="e">
        <f>G10+G11</f>
        <v>#REF!</v>
      </c>
      <c r="I12" s="5"/>
    </row>
    <row r="13" spans="1:15" s="3" customFormat="1" x14ac:dyDescent="0.25">
      <c r="A13" s="16" t="s">
        <v>26</v>
      </c>
      <c r="B13" s="16">
        <f>I30</f>
        <v>325.52687900000001</v>
      </c>
      <c r="C13" s="16">
        <f t="shared" si="0"/>
        <v>325.52687900000001</v>
      </c>
      <c r="I13" s="5"/>
      <c r="K13" s="3">
        <f>B13+B14</f>
        <v>597.52687900000001</v>
      </c>
    </row>
    <row r="14" spans="1:15" s="3" customFormat="1" x14ac:dyDescent="0.25">
      <c r="A14" s="16" t="s">
        <v>199</v>
      </c>
      <c r="B14" s="16">
        <f>100*B34</f>
        <v>272</v>
      </c>
      <c r="C14" s="16">
        <f t="shared" si="0"/>
        <v>272</v>
      </c>
      <c r="I14" s="5"/>
    </row>
    <row r="15" spans="1:15" s="3" customFormat="1" x14ac:dyDescent="0.25">
      <c r="A15" s="16" t="s">
        <v>32</v>
      </c>
      <c r="B15" s="16">
        <v>0</v>
      </c>
      <c r="C15" s="16">
        <v>0</v>
      </c>
      <c r="I15" s="5"/>
    </row>
    <row r="16" spans="1:15" s="3" customFormat="1" x14ac:dyDescent="0.25">
      <c r="A16" s="16" t="s">
        <v>84</v>
      </c>
      <c r="B16" s="40">
        <v>155</v>
      </c>
      <c r="C16" s="16">
        <f>B16</f>
        <v>155</v>
      </c>
      <c r="I16" s="5"/>
    </row>
    <row r="17" spans="1:14" s="3" customFormat="1" x14ac:dyDescent="0.25">
      <c r="A17" s="16" t="s">
        <v>79</v>
      </c>
      <c r="B17" s="16">
        <v>200</v>
      </c>
      <c r="C17" s="16">
        <f>B17</f>
        <v>200</v>
      </c>
      <c r="D17" s="16"/>
      <c r="J17" s="5"/>
    </row>
    <row r="18" spans="1:14" s="3" customFormat="1" x14ac:dyDescent="0.25">
      <c r="A18" s="16" t="s">
        <v>87</v>
      </c>
      <c r="B18" s="16">
        <f>22*(0.5+1+1+2+1+0.5)</f>
        <v>132</v>
      </c>
      <c r="C18" s="16">
        <f t="shared" ref="C18:C19" si="1">B18</f>
        <v>132</v>
      </c>
      <c r="D18" s="16"/>
      <c r="F18" s="3">
        <v>3185</v>
      </c>
      <c r="G18" s="3">
        <v>4360</v>
      </c>
      <c r="H18" s="3">
        <f>F18-G18</f>
        <v>-1175</v>
      </c>
      <c r="I18" s="3">
        <f>H18*2</f>
        <v>-2350</v>
      </c>
      <c r="J18" s="5"/>
    </row>
    <row r="19" spans="1:14" s="3" customFormat="1" x14ac:dyDescent="0.25">
      <c r="A19" s="16" t="s">
        <v>89</v>
      </c>
      <c r="B19" s="16">
        <v>58</v>
      </c>
      <c r="C19" s="16">
        <f t="shared" si="1"/>
        <v>58</v>
      </c>
      <c r="D19" s="16"/>
      <c r="F19" s="3">
        <v>1500</v>
      </c>
      <c r="J19" s="5"/>
    </row>
    <row r="20" spans="1:14" x14ac:dyDescent="0.25">
      <c r="A20" s="23" t="s">
        <v>61</v>
      </c>
      <c r="B20" s="13"/>
      <c r="C20" s="13">
        <v>0</v>
      </c>
      <c r="E20" s="4">
        <f>SUM(E17:E17)</f>
        <v>0</v>
      </c>
    </row>
    <row r="21" spans="1:14" x14ac:dyDescent="0.25">
      <c r="A21" s="23" t="s">
        <v>179</v>
      </c>
      <c r="B21" s="13">
        <v>0</v>
      </c>
      <c r="C21" s="13">
        <v>0</v>
      </c>
      <c r="M21" s="65" t="s">
        <v>207</v>
      </c>
      <c r="N21" s="65">
        <v>7104</v>
      </c>
    </row>
    <row r="22" spans="1:14" x14ac:dyDescent="0.25">
      <c r="A22" s="23" t="s">
        <v>197</v>
      </c>
      <c r="B22" s="13">
        <v>0</v>
      </c>
      <c r="C22" s="13">
        <v>0</v>
      </c>
      <c r="M22" s="65"/>
      <c r="N22" s="65"/>
    </row>
    <row r="23" spans="1:14" x14ac:dyDescent="0.25">
      <c r="A23" s="22" t="s">
        <v>112</v>
      </c>
      <c r="B23" s="13">
        <v>0</v>
      </c>
      <c r="C23" s="13">
        <v>0</v>
      </c>
      <c r="E23" s="26">
        <v>312</v>
      </c>
      <c r="M23" s="65" t="s">
        <v>203</v>
      </c>
      <c r="N23" s="65">
        <v>4500</v>
      </c>
    </row>
    <row r="24" spans="1:14" s="3" customFormat="1" x14ac:dyDescent="0.25">
      <c r="A24" s="20" t="s">
        <v>169</v>
      </c>
      <c r="B24" s="40">
        <v>180</v>
      </c>
      <c r="C24" s="16">
        <f>B24</f>
        <v>180</v>
      </c>
      <c r="E24" s="37">
        <v>-180</v>
      </c>
      <c r="M24" s="3" t="s">
        <v>204</v>
      </c>
      <c r="N24" s="3">
        <v>2200</v>
      </c>
    </row>
    <row r="25" spans="1:14" s="3" customFormat="1" x14ac:dyDescent="0.25">
      <c r="A25" s="20" t="s">
        <v>209</v>
      </c>
      <c r="B25" s="40">
        <v>90</v>
      </c>
      <c r="C25" s="16">
        <f>B25</f>
        <v>90</v>
      </c>
      <c r="E25" s="37"/>
    </row>
    <row r="26" spans="1:14" s="3" customFormat="1" x14ac:dyDescent="0.25">
      <c r="A26" s="20" t="s">
        <v>166</v>
      </c>
      <c r="B26" s="40">
        <f>89.7*B34</f>
        <v>243.98400000000004</v>
      </c>
      <c r="C26" s="16">
        <f>B26</f>
        <v>243.98400000000004</v>
      </c>
      <c r="E26" s="37">
        <v>-49</v>
      </c>
      <c r="M26" s="3" t="s">
        <v>205</v>
      </c>
      <c r="N26" s="3">
        <v>2000</v>
      </c>
    </row>
    <row r="27" spans="1:14" s="3" customFormat="1" x14ac:dyDescent="0.25">
      <c r="A27" s="20" t="s">
        <v>167</v>
      </c>
      <c r="B27" s="16">
        <v>50</v>
      </c>
      <c r="C27" s="16">
        <f>B27</f>
        <v>50</v>
      </c>
      <c r="E27" s="37">
        <f>SUM(E23:E26)</f>
        <v>83</v>
      </c>
      <c r="M27" s="3" t="s">
        <v>206</v>
      </c>
      <c r="N27" s="3">
        <v>2000</v>
      </c>
    </row>
    <row r="28" spans="1:14" x14ac:dyDescent="0.25">
      <c r="C28" s="13">
        <v>0</v>
      </c>
      <c r="I28" s="7"/>
      <c r="M28" s="65"/>
      <c r="N28" s="65"/>
    </row>
    <row r="29" spans="1:14" ht="15.75" thickBot="1" x14ac:dyDescent="0.3">
      <c r="A29" s="4" t="s">
        <v>31</v>
      </c>
      <c r="B29" s="4">
        <f>SUM(C2:C27)</f>
        <v>3075.5508789999999</v>
      </c>
      <c r="C29" s="13">
        <v>0</v>
      </c>
      <c r="I29" s="7" t="s">
        <v>34</v>
      </c>
      <c r="M29" s="65"/>
      <c r="N29" s="65"/>
    </row>
    <row r="30" spans="1:14" x14ac:dyDescent="0.25">
      <c r="A30" s="51" t="s">
        <v>24</v>
      </c>
      <c r="B30" s="52">
        <f>B32-B29</f>
        <v>0</v>
      </c>
      <c r="C30" s="62">
        <f>B30+E34</f>
        <v>7424.4491209999996</v>
      </c>
      <c r="G30" s="4">
        <v>15013</v>
      </c>
      <c r="H30" s="4">
        <f>B13/2.8</f>
        <v>116.25959964285715</v>
      </c>
      <c r="I30" s="7">
        <f>433.66*(G30)/(G30+G31)</f>
        <v>325.52687900000001</v>
      </c>
      <c r="J30" s="7">
        <f>(G30)/(G30+G31)</f>
        <v>0.75065000000000004</v>
      </c>
      <c r="M30" s="65"/>
      <c r="N30" s="65"/>
    </row>
    <row r="31" spans="1:14" x14ac:dyDescent="0.25">
      <c r="A31" s="54"/>
      <c r="B31" s="49"/>
      <c r="C31" s="55"/>
      <c r="G31" s="4">
        <v>4987</v>
      </c>
      <c r="I31" s="7"/>
      <c r="M31" s="65"/>
      <c r="N31" s="65">
        <f>SUM(N21:N27)</f>
        <v>17804</v>
      </c>
    </row>
    <row r="32" spans="1:14" ht="15.75" x14ac:dyDescent="0.25">
      <c r="A32" s="54" t="s">
        <v>20</v>
      </c>
      <c r="B32" s="50">
        <f>SUM(B2:B19)+SUM(B21:B27)</f>
        <v>3075.5508789999999</v>
      </c>
      <c r="C32" s="56"/>
      <c r="E32" s="25"/>
      <c r="G32" s="4">
        <f>SUM(G30:G31)</f>
        <v>20000</v>
      </c>
      <c r="I32" s="26">
        <f>2200/B34</f>
        <v>808.82352941176464</v>
      </c>
    </row>
    <row r="33" spans="1:7" x14ac:dyDescent="0.25">
      <c r="A33" s="54"/>
      <c r="B33" s="49">
        <f>B32</f>
        <v>3075.5508789999999</v>
      </c>
      <c r="C33" s="55"/>
      <c r="D33" s="26"/>
      <c r="E33" s="7" t="s">
        <v>78</v>
      </c>
      <c r="G33" s="4">
        <f>G30/B34</f>
        <v>5519.4852941176468</v>
      </c>
    </row>
    <row r="34" spans="1:7" x14ac:dyDescent="0.25">
      <c r="A34" s="57"/>
      <c r="B34" s="49">
        <f>2.72</f>
        <v>2.72</v>
      </c>
      <c r="C34" s="55"/>
      <c r="D34" s="64">
        <f>N31</f>
        <v>17804</v>
      </c>
      <c r="E34" s="7">
        <f>10500-B32</f>
        <v>7424.4491209999996</v>
      </c>
      <c r="F34" s="7"/>
    </row>
    <row r="35" spans="1:7" ht="15.75" thickBot="1" x14ac:dyDescent="0.3">
      <c r="A35" s="58"/>
      <c r="B35" s="59"/>
      <c r="C35" s="60"/>
      <c r="D35" s="7"/>
      <c r="E35" s="7">
        <f>E34/B34</f>
        <v>2729.5768827205879</v>
      </c>
      <c r="F35" s="7"/>
    </row>
    <row r="36" spans="1:7" x14ac:dyDescent="0.25">
      <c r="D36" s="7"/>
      <c r="E36" s="7"/>
    </row>
    <row r="37" spans="1:7" x14ac:dyDescent="0.25">
      <c r="B37" s="4">
        <f>B32*3</f>
        <v>9226.6526369999992</v>
      </c>
      <c r="D37" s="7"/>
      <c r="E37" s="7"/>
      <c r="F37" s="7"/>
    </row>
    <row r="38" spans="1:7" x14ac:dyDescent="0.25">
      <c r="C38" s="4">
        <f>B37-D38</f>
        <v>-8577.3473630000008</v>
      </c>
      <c r="D38" s="4">
        <f>SUM(D34:D37)</f>
        <v>17804</v>
      </c>
    </row>
    <row r="39" spans="1:7" x14ac:dyDescent="0.25">
      <c r="D39" s="4">
        <f>D38/B32</f>
        <v>5.7888816346907204</v>
      </c>
    </row>
    <row r="45" spans="1:7" x14ac:dyDescent="0.25">
      <c r="A45" s="7"/>
    </row>
    <row r="46" spans="1:7" x14ac:dyDescent="0.25">
      <c r="B46" s="26"/>
    </row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7"/>
  <sheetViews>
    <sheetView zoomScale="70" zoomScaleNormal="70" workbookViewId="0">
      <selection activeCell="B30" sqref="B30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22</v>
      </c>
      <c r="C1" s="4" t="s">
        <v>2</v>
      </c>
      <c r="D1" s="7"/>
      <c r="F1" s="4">
        <v>92.77</v>
      </c>
    </row>
    <row r="2" spans="1:15" x14ac:dyDescent="0.25">
      <c r="A2" s="13" t="s">
        <v>4</v>
      </c>
      <c r="B2" s="13">
        <v>400</v>
      </c>
      <c r="C2" s="13">
        <v>100</v>
      </c>
      <c r="E2" s="4">
        <f>B14+B15</f>
        <v>597.52687900000001</v>
      </c>
      <c r="F2" s="4">
        <v>232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200.5</v>
      </c>
      <c r="C3" s="16">
        <f>B3</f>
        <v>200.5</v>
      </c>
      <c r="E3" s="5"/>
      <c r="F3" s="3">
        <f>F1+F2</f>
        <v>324.77</v>
      </c>
      <c r="G3" s="3">
        <f>E2-F3</f>
        <v>272.75687900000003</v>
      </c>
      <c r="H3" s="3">
        <v>324.89999999999998</v>
      </c>
      <c r="I3" s="3">
        <f>H3/3</f>
        <v>108.3</v>
      </c>
    </row>
    <row r="4" spans="1:15" s="3" customFormat="1" x14ac:dyDescent="0.25">
      <c r="A4" s="16" t="s">
        <v>201</v>
      </c>
      <c r="B4" s="16">
        <v>110</v>
      </c>
      <c r="C4" s="16">
        <f t="shared" ref="C4:C12" si="0">B4</f>
        <v>110</v>
      </c>
      <c r="E4" s="5"/>
    </row>
    <row r="5" spans="1:15" s="3" customFormat="1" x14ac:dyDescent="0.25">
      <c r="A5" s="16" t="s">
        <v>196</v>
      </c>
      <c r="B5" s="16">
        <f>68*B35+370</f>
        <v>554.96</v>
      </c>
      <c r="C5" s="16">
        <f t="shared" si="0"/>
        <v>554.96</v>
      </c>
      <c r="D5" s="3">
        <f>324.9/3</f>
        <v>108.3</v>
      </c>
      <c r="E5" s="5">
        <f>C8+D5</f>
        <v>274.96666666666664</v>
      </c>
      <c r="F5" s="5"/>
      <c r="M5" s="3">
        <f>312-150+40</f>
        <v>202</v>
      </c>
    </row>
    <row r="6" spans="1:15" s="3" customFormat="1" x14ac:dyDescent="0.25">
      <c r="A6" s="16" t="s">
        <v>185</v>
      </c>
      <c r="B6" s="16">
        <v>189.65</v>
      </c>
      <c r="C6" s="16">
        <f t="shared" si="0"/>
        <v>189.65</v>
      </c>
      <c r="E6" s="5"/>
      <c r="F6" s="5"/>
    </row>
    <row r="7" spans="1:15" s="3" customFormat="1" x14ac:dyDescent="0.25">
      <c r="A7" s="16" t="s">
        <v>210</v>
      </c>
      <c r="B7" s="16">
        <v>200</v>
      </c>
      <c r="C7" s="16">
        <f t="shared" si="0"/>
        <v>200</v>
      </c>
      <c r="I7" s="5"/>
    </row>
    <row r="8" spans="1:15" s="3" customFormat="1" x14ac:dyDescent="0.25">
      <c r="A8" s="16" t="s">
        <v>171</v>
      </c>
      <c r="B8" s="16">
        <f>500/3</f>
        <v>166.66666666666666</v>
      </c>
      <c r="C8" s="16">
        <f t="shared" si="0"/>
        <v>166.66666666666666</v>
      </c>
      <c r="I8" s="5"/>
    </row>
    <row r="9" spans="1:15" s="3" customFormat="1" ht="15.75" thickBot="1" x14ac:dyDescent="0.3">
      <c r="A9" s="16" t="s">
        <v>211</v>
      </c>
      <c r="B9" s="16">
        <f>80+120</f>
        <v>200</v>
      </c>
      <c r="C9" s="16">
        <f t="shared" si="0"/>
        <v>200</v>
      </c>
      <c r="I9" s="5"/>
    </row>
    <row r="10" spans="1:15" s="3" customFormat="1" ht="15.75" thickBot="1" x14ac:dyDescent="0.3">
      <c r="A10" s="16" t="s">
        <v>186</v>
      </c>
      <c r="B10" s="16">
        <v>68</v>
      </c>
      <c r="C10" s="16">
        <f t="shared" si="0"/>
        <v>68</v>
      </c>
      <c r="E10" s="61"/>
    </row>
    <row r="11" spans="1:15" s="3" customFormat="1" ht="15.75" thickBot="1" x14ac:dyDescent="0.3">
      <c r="A11" s="16" t="s">
        <v>13</v>
      </c>
      <c r="B11" s="16">
        <f>152.53</f>
        <v>152.53</v>
      </c>
      <c r="C11" s="16">
        <f t="shared" si="0"/>
        <v>152.53</v>
      </c>
    </row>
    <row r="12" spans="1:15" s="3" customFormat="1" ht="15.75" thickBot="1" x14ac:dyDescent="0.3">
      <c r="A12" s="16" t="s">
        <v>94</v>
      </c>
      <c r="B12" s="16">
        <v>138.19999999999999</v>
      </c>
      <c r="C12" s="16">
        <f t="shared" si="0"/>
        <v>138.19999999999999</v>
      </c>
      <c r="E12" s="61"/>
    </row>
    <row r="13" spans="1:15" x14ac:dyDescent="0.25">
      <c r="A13" s="13" t="s">
        <v>17</v>
      </c>
      <c r="B13" s="13">
        <v>10</v>
      </c>
      <c r="C13" s="13">
        <v>0</v>
      </c>
      <c r="I13" s="7"/>
    </row>
    <row r="14" spans="1:15" s="3" customFormat="1" x14ac:dyDescent="0.25">
      <c r="A14" s="16" t="s">
        <v>26</v>
      </c>
      <c r="B14" s="16">
        <f>I31</f>
        <v>325.52687900000001</v>
      </c>
      <c r="C14" s="16">
        <f>B14</f>
        <v>325.52687900000001</v>
      </c>
      <c r="I14" s="5"/>
    </row>
    <row r="15" spans="1:15" s="3" customFormat="1" x14ac:dyDescent="0.25">
      <c r="A15" s="16" t="s">
        <v>199</v>
      </c>
      <c r="B15" s="16">
        <f>100*B35</f>
        <v>272</v>
      </c>
      <c r="C15" s="16">
        <f>B15</f>
        <v>272</v>
      </c>
      <c r="I15" s="5"/>
    </row>
    <row r="16" spans="1:15" x14ac:dyDescent="0.25">
      <c r="A16" s="13" t="s">
        <v>32</v>
      </c>
      <c r="B16" s="13">
        <v>0</v>
      </c>
      <c r="C16" s="13">
        <v>0</v>
      </c>
      <c r="I16" s="7"/>
    </row>
    <row r="17" spans="1:10" x14ac:dyDescent="0.25">
      <c r="A17" s="13" t="s">
        <v>84</v>
      </c>
      <c r="B17" s="44">
        <v>155</v>
      </c>
      <c r="C17" s="13">
        <v>100</v>
      </c>
      <c r="I17" s="7"/>
    </row>
    <row r="18" spans="1:10" x14ac:dyDescent="0.25">
      <c r="A18" s="13" t="s">
        <v>79</v>
      </c>
      <c r="B18" s="13">
        <f>24*10</f>
        <v>240</v>
      </c>
      <c r="C18" s="13">
        <f>B18*(6/24)</f>
        <v>60</v>
      </c>
      <c r="D18" s="13"/>
      <c r="J18" s="7"/>
    </row>
    <row r="19" spans="1:10" x14ac:dyDescent="0.25">
      <c r="A19" s="13" t="s">
        <v>87</v>
      </c>
      <c r="B19" s="13">
        <f>24*(0.5+1+1+2+1+0.5)</f>
        <v>144</v>
      </c>
      <c r="C19" s="13">
        <f t="shared" ref="C19:C20" si="1">B19*(6/24)</f>
        <v>36</v>
      </c>
      <c r="D19" s="13"/>
      <c r="J19" s="7"/>
    </row>
    <row r="20" spans="1:10" x14ac:dyDescent="0.25">
      <c r="A20" s="13" t="s">
        <v>89</v>
      </c>
      <c r="B20" s="13">
        <f>24*2</f>
        <v>48</v>
      </c>
      <c r="C20" s="13">
        <f t="shared" si="1"/>
        <v>12</v>
      </c>
      <c r="D20" s="13"/>
      <c r="J20" s="7"/>
    </row>
    <row r="21" spans="1:10" x14ac:dyDescent="0.25">
      <c r="A21" s="23" t="s">
        <v>61</v>
      </c>
      <c r="B21" s="13"/>
      <c r="C21" s="13">
        <v>0</v>
      </c>
      <c r="E21" s="4">
        <f>SUM(E18:E18)</f>
        <v>0</v>
      </c>
    </row>
    <row r="22" spans="1:10" x14ac:dyDescent="0.25">
      <c r="A22" s="23" t="s">
        <v>179</v>
      </c>
      <c r="B22" s="13">
        <v>0</v>
      </c>
      <c r="C22" s="13">
        <v>0</v>
      </c>
    </row>
    <row r="23" spans="1:10" x14ac:dyDescent="0.25">
      <c r="A23" s="23" t="s">
        <v>197</v>
      </c>
      <c r="B23" s="13">
        <v>0</v>
      </c>
      <c r="C23" s="13">
        <v>0</v>
      </c>
    </row>
    <row r="24" spans="1:10" x14ac:dyDescent="0.25">
      <c r="A24" s="22" t="s">
        <v>112</v>
      </c>
      <c r="B24" s="13">
        <v>0</v>
      </c>
      <c r="C24" s="13">
        <v>0</v>
      </c>
      <c r="E24" s="26">
        <v>312</v>
      </c>
    </row>
    <row r="25" spans="1:10" x14ac:dyDescent="0.25">
      <c r="A25" s="22" t="s">
        <v>169</v>
      </c>
      <c r="B25" s="44">
        <v>180</v>
      </c>
      <c r="C25" s="13">
        <v>0</v>
      </c>
      <c r="E25" s="26">
        <v>-180</v>
      </c>
    </row>
    <row r="26" spans="1:10" x14ac:dyDescent="0.25">
      <c r="A26" s="22" t="s">
        <v>209</v>
      </c>
      <c r="B26" s="44">
        <v>0</v>
      </c>
      <c r="C26" s="13">
        <v>0</v>
      </c>
      <c r="E26" s="26"/>
    </row>
    <row r="27" spans="1:10" s="3" customFormat="1" x14ac:dyDescent="0.25">
      <c r="A27" s="20" t="s">
        <v>166</v>
      </c>
      <c r="B27" s="40">
        <f>89.7*B35</f>
        <v>243.98400000000004</v>
      </c>
      <c r="C27" s="16">
        <f>B27</f>
        <v>243.98400000000004</v>
      </c>
      <c r="E27" s="37">
        <v>-49</v>
      </c>
    </row>
    <row r="28" spans="1:10" s="3" customFormat="1" x14ac:dyDescent="0.25">
      <c r="A28" s="20" t="s">
        <v>167</v>
      </c>
      <c r="B28" s="16">
        <v>50</v>
      </c>
      <c r="C28" s="16">
        <f>B28</f>
        <v>50</v>
      </c>
      <c r="E28" s="37">
        <f>SUM(E24:E27)</f>
        <v>83</v>
      </c>
    </row>
    <row r="29" spans="1:10" x14ac:dyDescent="0.25">
      <c r="C29" s="13">
        <v>0</v>
      </c>
      <c r="I29" s="7"/>
    </row>
    <row r="30" spans="1:10" ht="15.75" thickBot="1" x14ac:dyDescent="0.3">
      <c r="A30" s="4" t="s">
        <v>31</v>
      </c>
      <c r="B30" s="4">
        <f>SUM(C2:C28)</f>
        <v>3180.0175456666666</v>
      </c>
      <c r="C30" s="13">
        <v>0</v>
      </c>
      <c r="I30" s="7" t="s">
        <v>34</v>
      </c>
    </row>
    <row r="31" spans="1:10" x14ac:dyDescent="0.25">
      <c r="A31" s="51" t="s">
        <v>24</v>
      </c>
      <c r="B31" s="52">
        <f>B33-B30</f>
        <v>869</v>
      </c>
      <c r="C31" s="62">
        <f>B31+E35</f>
        <v>7319.9824543333334</v>
      </c>
      <c r="G31" s="4">
        <v>15013</v>
      </c>
      <c r="H31" s="4">
        <f>B14/2.8</f>
        <v>116.25959964285715</v>
      </c>
      <c r="I31" s="7">
        <f>433.66*(G31)/(G31+G32)</f>
        <v>325.52687900000001</v>
      </c>
      <c r="J31" s="7">
        <f>(G31)/(G31+G32)</f>
        <v>0.75065000000000004</v>
      </c>
    </row>
    <row r="32" spans="1:10" x14ac:dyDescent="0.25">
      <c r="A32" s="54"/>
      <c r="B32" s="49"/>
      <c r="C32" s="55"/>
      <c r="G32" s="4">
        <v>4987</v>
      </c>
      <c r="I32" s="7"/>
    </row>
    <row r="33" spans="1:9" ht="15.75" x14ac:dyDescent="0.25">
      <c r="A33" s="54" t="s">
        <v>20</v>
      </c>
      <c r="B33" s="50">
        <f>SUM(B2:B20)+SUM(B22:B28)</f>
        <v>4049.0175456666666</v>
      </c>
      <c r="C33" s="56"/>
      <c r="E33" s="25"/>
      <c r="G33" s="4">
        <f>SUM(G31:G32)</f>
        <v>20000</v>
      </c>
      <c r="I33" s="26">
        <f>2200/B35</f>
        <v>808.82352941176464</v>
      </c>
    </row>
    <row r="34" spans="1:9" x14ac:dyDescent="0.25">
      <c r="A34" s="54"/>
      <c r="B34" s="49">
        <f>B33</f>
        <v>4049.0175456666666</v>
      </c>
      <c r="C34" s="55"/>
      <c r="D34" s="26"/>
      <c r="E34" s="7" t="s">
        <v>78</v>
      </c>
      <c r="G34" s="4">
        <f>G31/B35</f>
        <v>5519.4852941176468</v>
      </c>
    </row>
    <row r="35" spans="1:9" x14ac:dyDescent="0.25">
      <c r="A35" s="57"/>
      <c r="B35" s="49">
        <f>2.72</f>
        <v>2.72</v>
      </c>
      <c r="C35" s="55"/>
      <c r="D35" s="7">
        <f>N32</f>
        <v>0</v>
      </c>
      <c r="E35" s="7">
        <f>10500-B33</f>
        <v>6450.9824543333334</v>
      </c>
      <c r="F35" s="7"/>
    </row>
    <row r="36" spans="1:9" ht="15.75" thickBot="1" x14ac:dyDescent="0.3">
      <c r="A36" s="58"/>
      <c r="B36" s="59"/>
      <c r="C36" s="60"/>
      <c r="D36" s="7"/>
      <c r="E36" s="7">
        <f>E35/B35</f>
        <v>2371.6847258578432</v>
      </c>
      <c r="F36" s="7"/>
    </row>
    <row r="37" spans="1:9" x14ac:dyDescent="0.25">
      <c r="D37" s="7"/>
      <c r="E37" s="7"/>
    </row>
    <row r="38" spans="1:9" x14ac:dyDescent="0.25">
      <c r="B38" s="4">
        <f>B33*3</f>
        <v>12147.052637000001</v>
      </c>
      <c r="D38" s="7"/>
      <c r="E38" s="7"/>
      <c r="F38" s="7"/>
    </row>
    <row r="39" spans="1:9" x14ac:dyDescent="0.25">
      <c r="C39" s="4">
        <f>B38-D39</f>
        <v>12147.052637000001</v>
      </c>
      <c r="D39" s="4">
        <f>SUM(D35:D38)</f>
        <v>0</v>
      </c>
    </row>
    <row r="40" spans="1:9" x14ac:dyDescent="0.25">
      <c r="D40" s="4">
        <f>D39/B33</f>
        <v>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E23" sqref="E23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33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23</v>
      </c>
      <c r="D3" s="4">
        <v>290</v>
      </c>
      <c r="E3" s="4" t="s">
        <v>23</v>
      </c>
      <c r="F3" s="4">
        <v>15023</v>
      </c>
      <c r="G3" s="4" t="s">
        <v>28</v>
      </c>
      <c r="J3" s="4">
        <f>B7+B11</f>
        <v>593.05375800000002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205+9*2.88</f>
        <v>230.92</v>
      </c>
      <c r="C5" s="3" t="s">
        <v>23</v>
      </c>
      <c r="D5" s="3">
        <f>B5</f>
        <v>230.92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>
        <f>B6</f>
        <v>565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C9" s="4" t="s">
        <v>23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C10" s="4" t="s">
        <v>23</v>
      </c>
      <c r="D10" s="4">
        <v>0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J18+J18-150</f>
        <v>501.05375800000002</v>
      </c>
      <c r="C11" s="3" t="s">
        <v>5</v>
      </c>
      <c r="D11" s="3">
        <f>B11</f>
        <v>501.05375800000002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86</v>
      </c>
      <c r="C13" s="3" t="s">
        <v>5</v>
      </c>
      <c r="D13" s="3">
        <v>86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36</v>
      </c>
      <c r="B15" s="3">
        <v>5</v>
      </c>
      <c r="C15" s="3" t="s">
        <v>5</v>
      </c>
      <c r="D15" s="3">
        <f>B15</f>
        <v>5</v>
      </c>
      <c r="J15" s="5"/>
    </row>
    <row r="16" spans="1:10" s="4" customFormat="1" x14ac:dyDescent="0.25">
      <c r="G16">
        <v>57.16</v>
      </c>
      <c r="H16" s="4">
        <f>D3-B3</f>
        <v>-110</v>
      </c>
      <c r="J16" s="7"/>
    </row>
    <row r="17" spans="1:10" s="4" customFormat="1" x14ac:dyDescent="0.25">
      <c r="A17" s="4" t="s">
        <v>31</v>
      </c>
      <c r="B17" s="4">
        <f>SUM(D3:D15)</f>
        <v>2985.8069580000001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140</v>
      </c>
      <c r="C18" s="4">
        <v>-1383</v>
      </c>
      <c r="D18" s="4">
        <f>SUM(B18:C18)</f>
        <v>-1243</v>
      </c>
      <c r="G18"/>
      <c r="H18" s="4">
        <v>15013</v>
      </c>
      <c r="I18" s="4">
        <f>B11/2.8</f>
        <v>178.94777071428572</v>
      </c>
      <c r="J18" s="7">
        <f>433.66*(H18)/(H18+H19)</f>
        <v>325.52687900000001</v>
      </c>
    </row>
    <row r="19" spans="1:10" s="4" customFormat="1" x14ac:dyDescent="0.25"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3125.8069580000001</v>
      </c>
      <c r="C20" s="6"/>
      <c r="D20" s="6"/>
      <c r="H20">
        <f>SUM(H18:H19)</f>
        <v>20000</v>
      </c>
    </row>
    <row r="21" spans="1:10" x14ac:dyDescent="0.25">
      <c r="B21">
        <f>B20/2.74</f>
        <v>1140.8054591240875</v>
      </c>
    </row>
    <row r="22" spans="1:10" x14ac:dyDescent="0.25">
      <c r="E22" s="2" t="s">
        <v>21</v>
      </c>
    </row>
    <row r="23" spans="1:10" x14ac:dyDescent="0.25">
      <c r="E23" s="2">
        <f>1305-B21</f>
        <v>164.19454087591248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  <c r="E26">
        <v>230</v>
      </c>
      <c r="F26">
        <f>E26*F27/E27</f>
        <v>113.80714560122935</v>
      </c>
    </row>
    <row r="27" spans="1:10" x14ac:dyDescent="0.25">
      <c r="E27">
        <f>2155+160*2.8</f>
        <v>2603</v>
      </c>
      <c r="F27">
        <f>1000+100*2.88</f>
        <v>1288</v>
      </c>
    </row>
  </sheetData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zoomScale="80" zoomScaleNormal="80" workbookViewId="0"/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200</v>
      </c>
      <c r="E2" s="67">
        <f>B14+B15</f>
        <v>597.52687900000001</v>
      </c>
      <c r="F2" s="67">
        <v>-88.79</v>
      </c>
      <c r="G2" s="67">
        <f>F3+F2</f>
        <v>1008.736879</v>
      </c>
      <c r="H2" s="67">
        <v>-214</v>
      </c>
      <c r="I2" s="69"/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v>500</v>
      </c>
      <c r="F3" s="71">
        <f>E2+E3</f>
        <v>1097.526879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</row>
    <row r="5" spans="1:13" s="71" customFormat="1" x14ac:dyDescent="0.2">
      <c r="A5" s="70" t="s">
        <v>196</v>
      </c>
      <c r="B5" s="70">
        <v>380</v>
      </c>
      <c r="C5" s="70">
        <f>B5</f>
        <v>380</v>
      </c>
      <c r="E5" s="72">
        <f>B10</f>
        <v>68</v>
      </c>
      <c r="F5" s="72"/>
      <c r="G5" s="71">
        <f>G2+E4+E5</f>
        <v>1156.736879</v>
      </c>
      <c r="M5" s="71">
        <f>312-150+40</f>
        <v>202</v>
      </c>
    </row>
    <row r="6" spans="1:13" s="71" customFormat="1" x14ac:dyDescent="0.2">
      <c r="A6" s="70" t="s">
        <v>185</v>
      </c>
      <c r="B6" s="70">
        <v>0</v>
      </c>
      <c r="C6" s="70">
        <f t="shared" ref="C6:C11" si="0">B6</f>
        <v>0</v>
      </c>
      <c r="E6" s="72">
        <v>100</v>
      </c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294.73687899999999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5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272</v>
      </c>
      <c r="C15" s="70">
        <f>B15</f>
        <v>272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100</v>
      </c>
      <c r="I17" s="66"/>
    </row>
    <row r="18" spans="1:10" x14ac:dyDescent="0.2">
      <c r="A18" s="68" t="s">
        <v>79</v>
      </c>
      <c r="B18" s="68">
        <f>24*10</f>
        <v>240</v>
      </c>
      <c r="C18" s="68">
        <f>(11/24)*B18</f>
        <v>110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(11/24)*B19</f>
        <v>55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22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103.33333333333334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213</v>
      </c>
      <c r="B27" s="70">
        <v>270</v>
      </c>
      <c r="C27" s="70">
        <f>B27</f>
        <v>270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3629.9035456666666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480.99999999999955</v>
      </c>
      <c r="C33" s="81">
        <f>B33+E37</f>
        <v>6870.0964543333339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4110.9035456666661</v>
      </c>
      <c r="C35" s="86"/>
      <c r="E35" s="69"/>
      <c r="G35" s="67">
        <f>SUM(G33:G34)</f>
        <v>20000</v>
      </c>
      <c r="I35" s="76">
        <f>2200/B37</f>
        <v>808.82352941176464</v>
      </c>
    </row>
    <row r="36" spans="1:10" x14ac:dyDescent="0.2">
      <c r="A36" s="82"/>
      <c r="B36" s="83">
        <f>B35</f>
        <v>4110.9035456666661</v>
      </c>
      <c r="C36" s="84"/>
      <c r="D36" s="76"/>
      <c r="E36" s="66" t="s">
        <v>78</v>
      </c>
      <c r="G36" s="67">
        <f>G33/B37</f>
        <v>5519.4852941176468</v>
      </c>
    </row>
    <row r="37" spans="1:10" x14ac:dyDescent="0.2">
      <c r="A37" s="87"/>
      <c r="B37" s="83">
        <f>2.72</f>
        <v>2.72</v>
      </c>
      <c r="C37" s="84"/>
      <c r="D37" s="66">
        <f>N34</f>
        <v>0</v>
      </c>
      <c r="E37" s="66">
        <f>10500-B35</f>
        <v>6389.0964543333339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2348.9325199754903</v>
      </c>
      <c r="F38" s="66"/>
    </row>
    <row r="39" spans="1:10" x14ac:dyDescent="0.2">
      <c r="D39" s="66"/>
      <c r="E39" s="66"/>
    </row>
    <row r="40" spans="1:10" x14ac:dyDescent="0.2">
      <c r="B40" s="67">
        <f>B35*3</f>
        <v>12332.710636999998</v>
      </c>
      <c r="D40" s="66"/>
      <c r="E40" s="66"/>
      <c r="F40" s="66"/>
    </row>
    <row r="41" spans="1:10" x14ac:dyDescent="0.2">
      <c r="C41" s="67">
        <f>B40-D41</f>
        <v>12332.710636999998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workbookViewId="0">
      <selection activeCell="A5" sqref="A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I1" s="67">
        <f>20.65</f>
        <v>20.65</v>
      </c>
    </row>
    <row r="2" spans="1:13" x14ac:dyDescent="0.2">
      <c r="A2" s="68" t="s">
        <v>4</v>
      </c>
      <c r="B2" s="68">
        <v>400</v>
      </c>
      <c r="C2" s="68">
        <v>100</v>
      </c>
      <c r="I2" s="69">
        <f>79.75*B37</f>
        <v>223.29999999999998</v>
      </c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f>B7+500+B9+B14+B15-B47</f>
        <v>1297.076879</v>
      </c>
      <c r="I3" s="71">
        <f>SUM(I1:I2)</f>
        <v>243.95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/>
    </row>
    <row r="5" spans="1:13" s="71" customFormat="1" x14ac:dyDescent="0.2">
      <c r="A5" s="70" t="s">
        <v>196</v>
      </c>
      <c r="B5" s="70">
        <v>388</v>
      </c>
      <c r="C5" s="70">
        <f>B5</f>
        <v>388</v>
      </c>
      <c r="E5" s="72">
        <f>B7+B14+B15-B47</f>
        <v>717.07687899999996</v>
      </c>
      <c r="F5" s="72"/>
      <c r="M5" s="71">
        <f>312-150+40</f>
        <v>202</v>
      </c>
    </row>
    <row r="6" spans="1:13" s="71" customFormat="1" x14ac:dyDescent="0.2">
      <c r="A6" s="70" t="s">
        <v>185</v>
      </c>
      <c r="B6" s="70">
        <f>I3</f>
        <v>243.95</v>
      </c>
      <c r="C6" s="70">
        <f t="shared" ref="C6:C12" si="0">B6</f>
        <v>243.95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 t="shared" si="0"/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0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280</v>
      </c>
      <c r="C15" s="70">
        <f>B15</f>
        <v>280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s="71" customFormat="1" x14ac:dyDescent="0.2">
      <c r="A17" s="70" t="s">
        <v>84</v>
      </c>
      <c r="B17" s="70">
        <v>155</v>
      </c>
      <c r="C17" s="70">
        <v>50</v>
      </c>
      <c r="I17" s="72"/>
    </row>
    <row r="18" spans="1:10" x14ac:dyDescent="0.2">
      <c r="A18" s="68" t="s">
        <v>79</v>
      </c>
      <c r="B18" s="68">
        <f>24*10</f>
        <v>240</v>
      </c>
      <c r="C18" s="68">
        <f>B18*(7/21)</f>
        <v>80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B19*(7/21)</f>
        <v>40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16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0</v>
      </c>
    </row>
    <row r="25" spans="1:10" x14ac:dyDescent="0.2">
      <c r="A25" s="75" t="s">
        <v>169</v>
      </c>
      <c r="B25" s="68">
        <v>180</v>
      </c>
      <c r="C25" s="68">
        <v>0</v>
      </c>
      <c r="E25" s="76"/>
    </row>
    <row r="26" spans="1:10" s="71" customFormat="1" x14ac:dyDescent="0.2">
      <c r="A26" s="77" t="s">
        <v>209</v>
      </c>
      <c r="B26" s="70">
        <v>85.25</v>
      </c>
      <c r="C26" s="70">
        <f>B26</f>
        <v>85.25</v>
      </c>
      <c r="E26" s="78"/>
    </row>
    <row r="27" spans="1:10" x14ac:dyDescent="0.2">
      <c r="A27" s="75" t="s">
        <v>214</v>
      </c>
      <c r="B27" s="68">
        <f>500/3</f>
        <v>166.66666666666666</v>
      </c>
      <c r="C27" s="68">
        <v>0</v>
      </c>
      <c r="E27" s="76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3319.1035456666664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1033.6666666666665</v>
      </c>
      <c r="C33" s="81">
        <f>B33+E37</f>
        <v>7180.8964543333332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4352.7702123333329</v>
      </c>
      <c r="C35" s="86"/>
      <c r="E35" s="69"/>
      <c r="G35" s="67">
        <f>SUM(G33:G34)</f>
        <v>20000</v>
      </c>
      <c r="I35" s="76">
        <f>2200/B37</f>
        <v>785.71428571428578</v>
      </c>
    </row>
    <row r="36" spans="1:10" x14ac:dyDescent="0.2">
      <c r="A36" s="82"/>
      <c r="B36" s="83">
        <f>B35</f>
        <v>4352.7702123333329</v>
      </c>
      <c r="C36" s="84"/>
      <c r="D36" s="76"/>
      <c r="E36" s="66" t="s">
        <v>78</v>
      </c>
      <c r="G36" s="67">
        <f>G33/B37</f>
        <v>5361.7857142857147</v>
      </c>
    </row>
    <row r="37" spans="1:10" x14ac:dyDescent="0.2">
      <c r="A37" s="87"/>
      <c r="B37" s="83">
        <f>2.8</f>
        <v>2.8</v>
      </c>
      <c r="C37" s="84"/>
      <c r="D37" s="66">
        <f>N34</f>
        <v>0</v>
      </c>
      <c r="E37" s="66">
        <f>10500-B35</f>
        <v>6147.2297876666671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2195.4392098809526</v>
      </c>
      <c r="F38" s="66"/>
    </row>
    <row r="39" spans="1:10" x14ac:dyDescent="0.2">
      <c r="D39" s="66"/>
      <c r="E39" s="66"/>
    </row>
    <row r="40" spans="1:10" x14ac:dyDescent="0.2">
      <c r="B40" s="67">
        <f>B35*3</f>
        <v>13058.310636999999</v>
      </c>
      <c r="D40" s="66"/>
      <c r="E40" s="66"/>
      <c r="F40" s="66"/>
    </row>
    <row r="41" spans="1:10" x14ac:dyDescent="0.2">
      <c r="C41" s="67">
        <f>B40-D41</f>
        <v>13058.310636999999</v>
      </c>
      <c r="D41" s="67">
        <f>SUM(D37:D40)</f>
        <v>0</v>
      </c>
    </row>
    <row r="42" spans="1:10" x14ac:dyDescent="0.2">
      <c r="D42" s="67">
        <f>D41/B35</f>
        <v>0</v>
      </c>
    </row>
    <row r="43" spans="1:10" x14ac:dyDescent="0.2">
      <c r="B43" s="67">
        <v>340</v>
      </c>
    </row>
    <row r="44" spans="1:10" x14ac:dyDescent="0.2">
      <c r="B44" s="66">
        <f>B35+B43</f>
        <v>4692.7702123333329</v>
      </c>
    </row>
    <row r="45" spans="1:10" x14ac:dyDescent="0.2">
      <c r="B45" s="67">
        <v>-471.8</v>
      </c>
    </row>
    <row r="46" spans="1:10" x14ac:dyDescent="0.2">
      <c r="B46" s="67">
        <f>B44+B45</f>
        <v>4220.9702123333327</v>
      </c>
    </row>
    <row r="47" spans="1:10" x14ac:dyDescent="0.2">
      <c r="A47" s="67" t="s">
        <v>215</v>
      </c>
      <c r="B47" s="71">
        <v>88.45</v>
      </c>
    </row>
    <row r="48" spans="1:10" x14ac:dyDescent="0.2">
      <c r="A48" s="66"/>
    </row>
    <row r="49" spans="2:2" x14ac:dyDescent="0.2">
      <c r="B49" s="76">
        <v>5553</v>
      </c>
    </row>
    <row r="50" spans="2:2" x14ac:dyDescent="0.2">
      <c r="B50" s="67">
        <f>B49-B33</f>
        <v>4519.3333333333339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sqref="A1:XFD104857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>
        <f>B14+B15</f>
        <v>610.52687900000001</v>
      </c>
      <c r="F2" s="67">
        <v>-88.79</v>
      </c>
      <c r="G2" s="67">
        <f>F3+F2</f>
        <v>1021.736879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189.3</v>
      </c>
      <c r="C3" s="70">
        <f t="shared" ref="C3:C9" si="0">B3</f>
        <v>189.3</v>
      </c>
      <c r="E3" s="72">
        <v>500</v>
      </c>
      <c r="F3" s="71">
        <f>E2+E3</f>
        <v>1110.526879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v>65</v>
      </c>
    </row>
    <row r="5" spans="1:13" s="71" customFormat="1" x14ac:dyDescent="0.2">
      <c r="A5" s="70" t="s">
        <v>196</v>
      </c>
      <c r="B5" s="70">
        <f>I6</f>
        <v>211.29666666666668</v>
      </c>
      <c r="C5" s="70">
        <f t="shared" si="0"/>
        <v>211.29666666666668</v>
      </c>
      <c r="D5" s="71">
        <f>395+12*2.85</f>
        <v>429.2</v>
      </c>
      <c r="E5" s="72">
        <f>B10</f>
        <v>0</v>
      </c>
      <c r="F5" s="72"/>
      <c r="G5" s="71">
        <f>G2+E4+E5</f>
        <v>1101.736879</v>
      </c>
      <c r="I5" s="71">
        <f>10*3.8</f>
        <v>38</v>
      </c>
      <c r="M5" s="71">
        <f>312-150+40</f>
        <v>202</v>
      </c>
    </row>
    <row r="6" spans="1:13" s="71" customFormat="1" x14ac:dyDescent="0.2">
      <c r="A6" s="70" t="s">
        <v>216</v>
      </c>
      <c r="B6" s="70">
        <v>198.1</v>
      </c>
      <c r="C6" s="70">
        <f t="shared" si="0"/>
        <v>198.1</v>
      </c>
      <c r="E6" s="72">
        <v>100</v>
      </c>
      <c r="F6" s="72"/>
      <c r="I6" s="71">
        <f>SUM(I3:I5)</f>
        <v>211.29666666666668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307.73687900000004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x14ac:dyDescent="0.2">
      <c r="A10" s="68" t="s">
        <v>186</v>
      </c>
      <c r="B10" s="68">
        <v>0</v>
      </c>
      <c r="C10" s="68">
        <v>0</v>
      </c>
      <c r="E10" s="74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s="71" customFormat="1" x14ac:dyDescent="0.2">
      <c r="A13" s="70" t="s">
        <v>17</v>
      </c>
      <c r="B13" s="70">
        <v>10</v>
      </c>
      <c r="C13" s="70">
        <f>B13</f>
        <v>10</v>
      </c>
      <c r="E13" s="70"/>
      <c r="I13" s="72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s="71" customFormat="1" x14ac:dyDescent="0.2">
      <c r="A15" s="70" t="s">
        <v>199</v>
      </c>
      <c r="B15" s="70">
        <f>100*B37</f>
        <v>285</v>
      </c>
      <c r="C15" s="70">
        <f>B15</f>
        <v>285</v>
      </c>
      <c r="E15" s="70">
        <v>108.3</v>
      </c>
      <c r="F15" s="71">
        <f>E15*3</f>
        <v>324.89999999999998</v>
      </c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155</v>
      </c>
      <c r="I17" s="66"/>
    </row>
    <row r="18" spans="1:10" x14ac:dyDescent="0.2">
      <c r="A18" s="68" t="s">
        <v>79</v>
      </c>
      <c r="B18" s="68">
        <f>24*10</f>
        <v>240</v>
      </c>
      <c r="C18" s="68">
        <f>(18/23)*B18</f>
        <v>187.82608695652175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(18/23)*B19</f>
        <v>93.913043478260875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37.565217391304351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3.3333333333333428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217</v>
      </c>
      <c r="B27" s="70">
        <v>170</v>
      </c>
      <c r="C27" s="70">
        <f>B27</f>
        <v>170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3796.604560159421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188.69565217391209</v>
      </c>
      <c r="C33" s="81">
        <f>B33+E37</f>
        <v>6703.3954398405785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3985.3002123333331</v>
      </c>
      <c r="C35" s="86"/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3985.3002123333331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6514.6997876666665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2285.859574619883</v>
      </c>
      <c r="F38" s="66"/>
    </row>
    <row r="39" spans="1:10" x14ac:dyDescent="0.2">
      <c r="D39" s="66"/>
      <c r="E39" s="66"/>
    </row>
    <row r="40" spans="1:10" x14ac:dyDescent="0.2">
      <c r="B40" s="67">
        <f>B35*3</f>
        <v>11955.900636999999</v>
      </c>
      <c r="D40" s="66"/>
      <c r="E40" s="66"/>
      <c r="F40" s="66"/>
    </row>
    <row r="41" spans="1:10" x14ac:dyDescent="0.2">
      <c r="C41" s="67">
        <f>B40-D41</f>
        <v>11955.900636999999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workbookViewId="0">
      <selection activeCell="D2" sqref="D2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 t="e">
        <f>B14+#REF!</f>
        <v>#REF!</v>
      </c>
      <c r="F2" s="67">
        <v>-88.79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v>392</v>
      </c>
      <c r="C5" s="70">
        <f t="shared" si="0"/>
        <v>392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316</v>
      </c>
      <c r="C6" s="70">
        <f t="shared" si="0"/>
        <v>316</v>
      </c>
      <c r="E6" s="72">
        <v>100</v>
      </c>
      <c r="F6" s="72"/>
      <c r="I6" s="9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/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24*10</f>
        <v>240</v>
      </c>
      <c r="C17" s="68">
        <f>(15/20)*B17</f>
        <v>180</v>
      </c>
      <c r="D17" s="68"/>
      <c r="J17" s="66"/>
    </row>
    <row r="18" spans="1:10" x14ac:dyDescent="0.2">
      <c r="A18" s="68" t="s">
        <v>87</v>
      </c>
      <c r="B18" s="68">
        <f>24*(0.5+1+1+2+0.5)</f>
        <v>120</v>
      </c>
      <c r="C18" s="68">
        <f>(15/20)*B18</f>
        <v>90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>(15/20)*B19</f>
        <v>36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179</v>
      </c>
      <c r="B21" s="68">
        <v>0</v>
      </c>
      <c r="C21" s="68">
        <v>0</v>
      </c>
    </row>
    <row r="22" spans="1:10" x14ac:dyDescent="0.2">
      <c r="A22" s="74" t="s">
        <v>197</v>
      </c>
      <c r="B22" s="68">
        <v>0</v>
      </c>
      <c r="C22" s="68">
        <v>0</v>
      </c>
    </row>
    <row r="23" spans="1:10" x14ac:dyDescent="0.2">
      <c r="A23" s="75" t="s">
        <v>112</v>
      </c>
      <c r="B23" s="68">
        <v>0</v>
      </c>
      <c r="C23" s="68">
        <v>0</v>
      </c>
      <c r="E23" s="76"/>
      <c r="F23" s="67">
        <f>B26-C8</f>
        <v>-166.66666666666666</v>
      </c>
    </row>
    <row r="24" spans="1:10" s="71" customFormat="1" x14ac:dyDescent="0.2">
      <c r="A24" s="77" t="s">
        <v>218</v>
      </c>
      <c r="B24" s="70">
        <v>298</v>
      </c>
      <c r="C24" s="70">
        <f>B24</f>
        <v>298</v>
      </c>
      <c r="E24" s="78"/>
    </row>
    <row r="25" spans="1:10" x14ac:dyDescent="0.2">
      <c r="A25" s="75" t="s">
        <v>209</v>
      </c>
      <c r="B25" s="68">
        <v>0</v>
      </c>
      <c r="C25" s="68">
        <v>0</v>
      </c>
      <c r="E25" s="76"/>
    </row>
    <row r="26" spans="1:10" x14ac:dyDescent="0.2">
      <c r="A26" s="75" t="s">
        <v>217</v>
      </c>
      <c r="B26" s="68">
        <v>0</v>
      </c>
      <c r="C26" s="68">
        <v>0</v>
      </c>
      <c r="E26" s="76"/>
    </row>
    <row r="27" spans="1:10" s="71" customFormat="1" x14ac:dyDescent="0.2">
      <c r="A27" s="77" t="s">
        <v>212</v>
      </c>
      <c r="B27" s="70">
        <v>299.60000000000002</v>
      </c>
      <c r="C27" s="70">
        <f>B27</f>
        <v>299.60000000000002</v>
      </c>
      <c r="E27" s="78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3809.943545666667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202</v>
      </c>
      <c r="C32" s="81">
        <f>B32+E36</f>
        <v>6690.056454333333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G33" s="67">
        <v>4987</v>
      </c>
      <c r="I33" s="66"/>
    </row>
    <row r="34" spans="1:9" x14ac:dyDescent="0.2">
      <c r="A34" s="82" t="s">
        <v>20</v>
      </c>
      <c r="B34" s="85">
        <f>SUM(B2:B19)+SUM(B21:B29)</f>
        <v>4011.943545666667</v>
      </c>
      <c r="C34" s="86"/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4011.943545666667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6488.056454333333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2276.5110366081872</v>
      </c>
      <c r="F37" s="66"/>
    </row>
    <row r="38" spans="1:9" x14ac:dyDescent="0.2">
      <c r="D38" s="66"/>
      <c r="E38" s="66"/>
    </row>
    <row r="39" spans="1:9" x14ac:dyDescent="0.2">
      <c r="B39" s="67">
        <f>B34*3</f>
        <v>12035.830637000001</v>
      </c>
      <c r="D39" s="66"/>
      <c r="E39" s="66"/>
      <c r="F39" s="66"/>
    </row>
    <row r="40" spans="1:9" x14ac:dyDescent="0.2">
      <c r="C40" s="67">
        <f>B39-D40</f>
        <v>12035.830637000001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topLeftCell="A2" workbookViewId="0">
      <selection activeCell="A5" sqref="A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45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506.54-2*E12</f>
        <v>296.64</v>
      </c>
      <c r="C5" s="70">
        <f t="shared" si="0"/>
        <v>296.64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155.26</v>
      </c>
      <c r="C6" s="70">
        <f t="shared" si="0"/>
        <v>155.26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s="71" customFormat="1" x14ac:dyDescent="0.2">
      <c r="A16" s="70" t="s">
        <v>84</v>
      </c>
      <c r="B16" s="70">
        <v>155</v>
      </c>
      <c r="C16" s="70">
        <v>155</v>
      </c>
      <c r="I16" s="72"/>
      <c r="J16" s="71">
        <v>50</v>
      </c>
    </row>
    <row r="17" spans="1:10" x14ac:dyDescent="0.2">
      <c r="A17" s="68" t="s">
        <v>79</v>
      </c>
      <c r="B17" s="68">
        <f>24*10</f>
        <v>240</v>
      </c>
      <c r="C17" s="68">
        <f>(20/22)*B17</f>
        <v>218.18181818181819</v>
      </c>
      <c r="D17" s="68"/>
      <c r="I17" s="92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1">(20/22)*B18</f>
        <v>109.09090909090909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1"/>
        <v>43.636363636363633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s="71" customFormat="1" x14ac:dyDescent="0.2">
      <c r="A21" s="73" t="s">
        <v>219</v>
      </c>
      <c r="B21" s="70">
        <f>190+200</f>
        <v>390</v>
      </c>
      <c r="C21" s="70">
        <f>B21</f>
        <v>390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-166.66666666666666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x14ac:dyDescent="0.2">
      <c r="A27" s="75" t="s">
        <v>217</v>
      </c>
      <c r="B27" s="68">
        <v>0</v>
      </c>
      <c r="C27" s="68">
        <v>0</v>
      </c>
      <c r="E27" s="76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3809.1526365757572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37.090909090909463</v>
      </c>
      <c r="C32" s="81">
        <f>B32+E36</f>
        <v>6690.8473634242437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D33" s="67">
        <v>4612</v>
      </c>
      <c r="G33" s="67">
        <v>4987</v>
      </c>
      <c r="I33" s="66"/>
    </row>
    <row r="34" spans="1:9" x14ac:dyDescent="0.2">
      <c r="A34" s="82" t="s">
        <v>20</v>
      </c>
      <c r="B34" s="85">
        <f>SUM(B2:B19)+SUM(B20:B29)</f>
        <v>3846.2435456666667</v>
      </c>
      <c r="C34" s="86"/>
      <c r="D34" s="67">
        <f>D33-B32</f>
        <v>4574.9090909090901</v>
      </c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3846.2435456666667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6653.7564543333337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2334.6513874853804</v>
      </c>
      <c r="F37" s="66"/>
    </row>
    <row r="38" spans="1:9" x14ac:dyDescent="0.2">
      <c r="D38" s="66"/>
      <c r="E38" s="66"/>
    </row>
    <row r="39" spans="1:9" x14ac:dyDescent="0.2">
      <c r="B39" s="67">
        <f>B34*3</f>
        <v>11538.730637000001</v>
      </c>
      <c r="D39" s="66"/>
      <c r="E39" s="66"/>
      <c r="F39" s="66"/>
    </row>
    <row r="40" spans="1:9" x14ac:dyDescent="0.2">
      <c r="C40" s="67">
        <f>B39-D40</f>
        <v>11538.730637000001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zoomScale="90" zoomScaleNormal="90" workbookViewId="0">
      <selection sqref="A1:XFD104857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47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95+1*B35</f>
        <v>97.85</v>
      </c>
      <c r="C5" s="70">
        <f>B5</f>
        <v>97.85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f>237.25+61.8+85.1</f>
        <v>384.15</v>
      </c>
      <c r="C6" s="70">
        <f>B6</f>
        <v>384.15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x14ac:dyDescent="0.2">
      <c r="A16" s="68" t="s">
        <v>84</v>
      </c>
      <c r="B16" s="68">
        <v>155</v>
      </c>
      <c r="C16" s="68">
        <v>155</v>
      </c>
      <c r="I16" s="66"/>
      <c r="J16" s="67">
        <v>50</v>
      </c>
    </row>
    <row r="17" spans="1:10" x14ac:dyDescent="0.2">
      <c r="A17" s="68" t="s">
        <v>79</v>
      </c>
      <c r="B17" s="68">
        <f>24*10</f>
        <v>240</v>
      </c>
      <c r="C17" s="68">
        <f>16*(B17/20)</f>
        <v>192</v>
      </c>
      <c r="D17" s="68"/>
      <c r="I17" s="67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0">16*(B18/20)</f>
        <v>96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0"/>
        <v>38.4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 t="e">
        <f>#REF!-C8</f>
        <v>#REF!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3404.7435456666672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81.599999999999909</v>
      </c>
      <c r="C31" s="81">
        <f>B31+E35</f>
        <v>7095.2564543333337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3486.3435456666671</v>
      </c>
      <c r="C33" s="86"/>
      <c r="D33" s="67">
        <f>D32-B31</f>
        <v>4530.3999999999996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3486.3435456666671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7013.6564543333334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2460.9320892397659</v>
      </c>
      <c r="F36" s="66"/>
    </row>
    <row r="37" spans="1:9" x14ac:dyDescent="0.2">
      <c r="D37" s="66"/>
      <c r="E37" s="66"/>
    </row>
    <row r="38" spans="1:9" x14ac:dyDescent="0.2">
      <c r="B38" s="67">
        <f>B33*3</f>
        <v>10459.030637000002</v>
      </c>
      <c r="D38" s="66"/>
      <c r="E38" s="66"/>
      <c r="F38" s="66"/>
    </row>
    <row r="39" spans="1:9" x14ac:dyDescent="0.2">
      <c r="C39" s="67">
        <f>B38-D39</f>
        <v>10459.030637000002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workbookViewId="0">
      <selection activeCell="A17" sqref="A17:B1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H2" s="71">
        <f>2000-B31</f>
        <v>1966</v>
      </c>
      <c r="I2" s="93">
        <f>1263-(B31+30)</f>
        <v>1199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/>
    </row>
    <row r="4" spans="1:13" s="71" customFormat="1" x14ac:dyDescent="0.2">
      <c r="A4" s="70" t="s">
        <v>201</v>
      </c>
      <c r="B4" s="70">
        <v>115</v>
      </c>
      <c r="C4" s="70">
        <f>B4</f>
        <v>115</v>
      </c>
      <c r="E4" s="72"/>
    </row>
    <row r="5" spans="1:13" s="71" customFormat="1" x14ac:dyDescent="0.2">
      <c r="A5" s="70" t="s">
        <v>196</v>
      </c>
      <c r="B5" s="70">
        <f>169+80</f>
        <v>249</v>
      </c>
      <c r="C5" s="70">
        <f>B5</f>
        <v>249</v>
      </c>
      <c r="D5" s="71" t="s">
        <v>223</v>
      </c>
      <c r="E5" s="72">
        <f>129.7 + 93.2</f>
        <v>222.89999999999998</v>
      </c>
      <c r="F5" s="72" t="s">
        <v>224</v>
      </c>
      <c r="G5" s="72">
        <f>129.7 + 501.71</f>
        <v>631.41</v>
      </c>
      <c r="I5" s="71">
        <f>1207-34</f>
        <v>1173</v>
      </c>
      <c r="M5" s="71">
        <f>312-150+40</f>
        <v>202</v>
      </c>
    </row>
    <row r="6" spans="1:13" s="71" customFormat="1" x14ac:dyDescent="0.2">
      <c r="A6" s="70" t="s">
        <v>216</v>
      </c>
      <c r="B6" s="70">
        <v>337.24</v>
      </c>
      <c r="C6" s="70">
        <f t="shared" ref="C6:C12" si="0">B6</f>
        <v>337.24</v>
      </c>
      <c r="D6" s="67" t="s">
        <v>225</v>
      </c>
      <c r="E6" s="66">
        <v>124.83</v>
      </c>
      <c r="F6" s="66"/>
      <c r="G6" s="67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 t="shared" si="0"/>
        <v>133.28</v>
      </c>
      <c r="E12" s="73"/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/>
      <c r="F13" s="71">
        <v>246</v>
      </c>
      <c r="I13" s="72"/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/>
      <c r="F14" s="71">
        <f>B31-F13</f>
        <v>-212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22*10</f>
        <v>220</v>
      </c>
      <c r="C17" s="68">
        <f>(20/22)*B17</f>
        <v>200</v>
      </c>
      <c r="D17" s="68"/>
      <c r="J17" s="66"/>
    </row>
    <row r="18" spans="1:10" x14ac:dyDescent="0.2">
      <c r="A18" s="68" t="s">
        <v>87</v>
      </c>
      <c r="B18" s="68">
        <f>22*(0.5+1+1+2+0.5)</f>
        <v>110</v>
      </c>
      <c r="C18" s="68">
        <f t="shared" ref="C18:C19" si="1">(20/22)*B18</f>
        <v>100</v>
      </c>
      <c r="D18" s="68"/>
      <c r="J18" s="66"/>
    </row>
    <row r="19" spans="1:10" x14ac:dyDescent="0.2">
      <c r="A19" s="68" t="s">
        <v>89</v>
      </c>
      <c r="B19" s="68">
        <f>22*2</f>
        <v>44</v>
      </c>
      <c r="C19" s="68">
        <f t="shared" si="1"/>
        <v>40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s="71" customFormat="1" x14ac:dyDescent="0.2">
      <c r="A22" s="73" t="s">
        <v>179</v>
      </c>
      <c r="B22" s="70">
        <f>85+50+5</f>
        <v>140</v>
      </c>
      <c r="C22" s="70">
        <v>140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3692.943545666667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34</v>
      </c>
      <c r="C31" s="81">
        <f>B31+E35</f>
        <v>6807.056454333333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3726.943545666667</v>
      </c>
      <c r="C33" s="86"/>
      <c r="D33" s="67">
        <f>D32-B31</f>
        <v>4578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3726.943545666667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6773.056454333333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2376.5110366081872</v>
      </c>
      <c r="F36" s="66"/>
    </row>
    <row r="37" spans="1:9" x14ac:dyDescent="0.2">
      <c r="D37" s="66"/>
      <c r="E37" s="66"/>
    </row>
    <row r="38" spans="1:9" x14ac:dyDescent="0.2">
      <c r="B38" s="67">
        <f>B33*3</f>
        <v>11180.830637000001</v>
      </c>
      <c r="D38" s="66"/>
      <c r="E38" s="66"/>
      <c r="F38" s="66"/>
    </row>
    <row r="39" spans="1:9" x14ac:dyDescent="0.2">
      <c r="C39" s="67">
        <f>B38-D39</f>
        <v>11180.830637000001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  <pageSetup orientation="portrait"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6"/>
  <sheetViews>
    <sheetView workbookViewId="0">
      <selection activeCell="E20" sqref="E20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56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I2" s="69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2"/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</row>
    <row r="5" spans="1:13" s="71" customFormat="1" x14ac:dyDescent="0.2">
      <c r="A5" s="70" t="s">
        <v>196</v>
      </c>
      <c r="B5" s="70">
        <f>300-F9-F10</f>
        <v>143.96</v>
      </c>
      <c r="C5" s="70">
        <f>B5</f>
        <v>143.96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274.59-F11</f>
        <v>149.74999999999997</v>
      </c>
      <c r="C6" s="70">
        <f>B6</f>
        <v>149.74999999999997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D9" s="95">
        <v>41731</v>
      </c>
      <c r="E9" s="70" t="s">
        <v>236</v>
      </c>
      <c r="F9" s="71">
        <v>93.2</v>
      </c>
      <c r="H9" s="71" t="s">
        <v>247</v>
      </c>
      <c r="I9" s="71">
        <v>567</v>
      </c>
    </row>
    <row r="10" spans="1:13" x14ac:dyDescent="0.2">
      <c r="A10" s="68" t="s">
        <v>186</v>
      </c>
      <c r="B10" s="68">
        <v>0</v>
      </c>
      <c r="C10" s="68">
        <v>0</v>
      </c>
      <c r="D10" s="94">
        <v>41746</v>
      </c>
      <c r="E10" s="68" t="s">
        <v>237</v>
      </c>
      <c r="F10" s="67">
        <v>62.84</v>
      </c>
      <c r="H10" s="67" t="s">
        <v>243</v>
      </c>
      <c r="I10" s="67">
        <v>10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0" t="s">
        <v>239</v>
      </c>
      <c r="F11" s="71">
        <v>124.84</v>
      </c>
      <c r="H11" s="71" t="s">
        <v>244</v>
      </c>
      <c r="I11" s="71">
        <v>193</v>
      </c>
    </row>
    <row r="12" spans="1:13" s="71" customFormat="1" x14ac:dyDescent="0.2">
      <c r="A12" s="70" t="s">
        <v>94</v>
      </c>
      <c r="B12" s="70">
        <v>118.6</v>
      </c>
      <c r="C12" s="70">
        <f>B12</f>
        <v>118.6</v>
      </c>
      <c r="E12" s="70" t="s">
        <v>240</v>
      </c>
      <c r="F12" s="71">
        <v>167</v>
      </c>
      <c r="H12" s="71" t="s">
        <v>245</v>
      </c>
      <c r="I12" s="71">
        <v>100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238</v>
      </c>
      <c r="F13" s="71">
        <v>700</v>
      </c>
      <c r="H13" s="70" t="s">
        <v>240</v>
      </c>
      <c r="I13" s="71">
        <v>167</v>
      </c>
    </row>
    <row r="14" spans="1:13" s="71" customFormat="1" x14ac:dyDescent="0.2">
      <c r="A14" s="70" t="s">
        <v>26</v>
      </c>
      <c r="B14" s="70">
        <f>I30</f>
        <v>325.52687900000001</v>
      </c>
      <c r="C14" s="70">
        <f>B14</f>
        <v>325.52687900000001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E15" s="67" t="s">
        <v>233</v>
      </c>
      <c r="F15" s="71">
        <f>SUM(F9:F13)</f>
        <v>1147.8800000000001</v>
      </c>
      <c r="H15" s="67" t="s">
        <v>246</v>
      </c>
      <c r="I15" s="72">
        <f>SUM(I9:I14)</f>
        <v>1037</v>
      </c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s="71" customFormat="1" x14ac:dyDescent="0.2">
      <c r="A17" s="70" t="s">
        <v>79</v>
      </c>
      <c r="B17" s="70">
        <f>21*10</f>
        <v>210</v>
      </c>
      <c r="C17" s="70">
        <f>B17</f>
        <v>210</v>
      </c>
      <c r="D17" s="70"/>
      <c r="J17" s="72"/>
    </row>
    <row r="18" spans="1:10" s="71" customFormat="1" x14ac:dyDescent="0.2">
      <c r="A18" s="70" t="s">
        <v>87</v>
      </c>
      <c r="B18" s="70">
        <f>21*(0.5+1+1+2+0.5)</f>
        <v>105</v>
      </c>
      <c r="C18" s="70">
        <f>B18</f>
        <v>105</v>
      </c>
      <c r="D18" s="70"/>
      <c r="E18" s="71">
        <f>500-B8</f>
        <v>333.33333333333337</v>
      </c>
      <c r="F18" s="71">
        <v>2295</v>
      </c>
      <c r="J18" s="72"/>
    </row>
    <row r="19" spans="1:10" s="71" customFormat="1" x14ac:dyDescent="0.2">
      <c r="A19" s="70" t="s">
        <v>89</v>
      </c>
      <c r="B19" s="70">
        <f>21*2</f>
        <v>42</v>
      </c>
      <c r="C19" s="70">
        <f>B19</f>
        <v>42</v>
      </c>
      <c r="D19" s="70"/>
      <c r="E19" s="71">
        <v>-200</v>
      </c>
      <c r="F19" s="71">
        <v>-1216</v>
      </c>
      <c r="J19" s="72"/>
    </row>
    <row r="20" spans="1:10" x14ac:dyDescent="0.2">
      <c r="A20" s="74" t="s">
        <v>61</v>
      </c>
      <c r="B20" s="68"/>
      <c r="C20" s="68">
        <v>0</v>
      </c>
      <c r="E20" s="78">
        <f>B30+E18+E19</f>
        <v>283.33333333333337</v>
      </c>
      <c r="F20" s="67">
        <f>SUM(F18:F19)</f>
        <v>1079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248</v>
      </c>
      <c r="B22" s="68">
        <f>50+65</f>
        <v>115</v>
      </c>
      <c r="C22" s="68">
        <f>65</f>
        <v>65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f>298+140</f>
        <v>438</v>
      </c>
      <c r="C25" s="70">
        <f>B25</f>
        <v>438</v>
      </c>
      <c r="E25" s="78"/>
    </row>
    <row r="26" spans="1:10" s="71" customFormat="1" x14ac:dyDescent="0.2">
      <c r="A26" s="77" t="s">
        <v>166</v>
      </c>
      <c r="B26" s="70">
        <v>257.44</v>
      </c>
      <c r="C26" s="70">
        <f>B26</f>
        <v>257.44</v>
      </c>
      <c r="E26" s="78"/>
    </row>
    <row r="27" spans="1:10" s="71" customFormat="1" x14ac:dyDescent="0.2">
      <c r="A27" s="77" t="s">
        <v>167</v>
      </c>
      <c r="B27" s="70">
        <v>50</v>
      </c>
      <c r="C27" s="70">
        <f>B27</f>
        <v>50</v>
      </c>
      <c r="E27" s="78"/>
    </row>
    <row r="28" spans="1:10" x14ac:dyDescent="0.2">
      <c r="C28" s="68">
        <v>0</v>
      </c>
      <c r="I28" s="66"/>
    </row>
    <row r="29" spans="1:10" ht="12" thickBot="1" x14ac:dyDescent="0.25">
      <c r="A29" s="67" t="s">
        <v>31</v>
      </c>
      <c r="B29" s="67">
        <f>SUM(C2:C27)</f>
        <v>3293.8335456666669</v>
      </c>
      <c r="C29" s="68">
        <v>0</v>
      </c>
      <c r="I29" s="66" t="s">
        <v>34</v>
      </c>
    </row>
    <row r="30" spans="1:10" x14ac:dyDescent="0.2">
      <c r="A30" s="79" t="s">
        <v>24</v>
      </c>
      <c r="B30" s="80">
        <f>B32-B29</f>
        <v>150</v>
      </c>
      <c r="C30" s="81">
        <f>B30+E34</f>
        <v>7206.1664543333336</v>
      </c>
      <c r="G30" s="67">
        <v>15013</v>
      </c>
      <c r="H30" s="67">
        <f>B14/2.8</f>
        <v>116.25959964285715</v>
      </c>
      <c r="I30" s="66">
        <f>433.66*(G30)/(G30+G31)</f>
        <v>325.52687900000001</v>
      </c>
      <c r="J30" s="66">
        <f>(G30)/(G30+G31)</f>
        <v>0.75065000000000004</v>
      </c>
    </row>
    <row r="31" spans="1:10" x14ac:dyDescent="0.2">
      <c r="A31" s="82"/>
      <c r="B31" s="83"/>
      <c r="C31" s="84"/>
      <c r="D31" s="67">
        <v>4612</v>
      </c>
      <c r="G31" s="67">
        <v>4987</v>
      </c>
      <c r="I31" s="66"/>
    </row>
    <row r="32" spans="1:10" x14ac:dyDescent="0.2">
      <c r="A32" s="82" t="s">
        <v>20</v>
      </c>
      <c r="B32" s="85">
        <f>SUM(B2:B19)+SUM(B20:B27)</f>
        <v>3443.8335456666669</v>
      </c>
      <c r="C32" s="86"/>
      <c r="D32" s="67">
        <f>D31-B30</f>
        <v>4462</v>
      </c>
      <c r="E32" s="69"/>
      <c r="G32" s="67">
        <f>SUM(G30:G31)</f>
        <v>20000</v>
      </c>
      <c r="I32" s="76">
        <f>2200/B34</f>
        <v>771.92982456140351</v>
      </c>
    </row>
    <row r="33" spans="1:7" x14ac:dyDescent="0.2">
      <c r="A33" s="82"/>
      <c r="B33" s="83">
        <f>B32</f>
        <v>3443.8335456666669</v>
      </c>
      <c r="C33" s="84"/>
      <c r="D33" s="76"/>
      <c r="E33" s="66" t="s">
        <v>78</v>
      </c>
      <c r="G33" s="67">
        <f>G30/B34</f>
        <v>5267.7192982456136</v>
      </c>
    </row>
    <row r="34" spans="1:7" x14ac:dyDescent="0.2">
      <c r="A34" s="87"/>
      <c r="B34" s="83">
        <f>2.85</f>
        <v>2.85</v>
      </c>
      <c r="C34" s="84"/>
      <c r="D34" s="66">
        <f>N31</f>
        <v>0</v>
      </c>
      <c r="E34" s="66">
        <f>10500-B32</f>
        <v>7056.1664543333336</v>
      </c>
      <c r="F34" s="66"/>
    </row>
    <row r="35" spans="1:7" ht="12" thickBot="1" x14ac:dyDescent="0.25">
      <c r="A35" s="88"/>
      <c r="B35" s="89"/>
      <c r="C35" s="90"/>
      <c r="D35" s="66"/>
      <c r="E35" s="66">
        <f>E34/B34</f>
        <v>2475.8478787134504</v>
      </c>
      <c r="F35" s="66"/>
    </row>
    <row r="36" spans="1:7" x14ac:dyDescent="0.2">
      <c r="D36" s="66"/>
      <c r="E36" s="66"/>
    </row>
    <row r="37" spans="1:7" x14ac:dyDescent="0.2">
      <c r="B37" s="67">
        <f>B32*3</f>
        <v>10331.500637000001</v>
      </c>
      <c r="D37" s="66"/>
      <c r="E37" s="66"/>
      <c r="F37" s="66"/>
    </row>
    <row r="38" spans="1:7" x14ac:dyDescent="0.2">
      <c r="C38" s="67">
        <f>B37-D38</f>
        <v>10331.500637000001</v>
      </c>
      <c r="D38" s="67">
        <f>SUM(D34:D37)</f>
        <v>0</v>
      </c>
    </row>
    <row r="39" spans="1:7" x14ac:dyDescent="0.2">
      <c r="D39" s="67">
        <f>D38/B32</f>
        <v>0</v>
      </c>
    </row>
    <row r="45" spans="1:7" x14ac:dyDescent="0.2">
      <c r="A45" s="66"/>
    </row>
    <row r="46" spans="1:7" x14ac:dyDescent="0.2">
      <c r="B46" s="76"/>
    </row>
  </sheetData>
  <pageMargins left="0.7" right="0.7" top="0.75" bottom="0.75" header="0.3" footer="0.3"/>
  <pageSetup orientation="portrait"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9" sqref="H9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4" x14ac:dyDescent="0.2">
      <c r="A1" s="66" t="s">
        <v>57</v>
      </c>
      <c r="C1" s="67" t="s">
        <v>2</v>
      </c>
      <c r="D1" s="66"/>
      <c r="E1" s="96" t="s">
        <v>249</v>
      </c>
      <c r="H1" s="96" t="s">
        <v>250</v>
      </c>
    </row>
    <row r="2" spans="1:14" s="71" customFormat="1" x14ac:dyDescent="0.2">
      <c r="A2" s="70" t="s">
        <v>4</v>
      </c>
      <c r="B2" s="70">
        <v>400</v>
      </c>
      <c r="C2" s="70">
        <f>B2</f>
        <v>400</v>
      </c>
      <c r="E2" s="71">
        <f>B6</f>
        <v>191.93</v>
      </c>
      <c r="H2" s="71">
        <f>F9+F10+F11</f>
        <v>229.33000000000004</v>
      </c>
      <c r="I2" s="93"/>
    </row>
    <row r="3" spans="1:14" s="71" customFormat="1" x14ac:dyDescent="0.2">
      <c r="A3" s="70" t="s">
        <v>7</v>
      </c>
      <c r="B3" s="70">
        <v>170</v>
      </c>
      <c r="C3" s="70">
        <f t="shared" ref="C3:C9" si="0">B3</f>
        <v>170</v>
      </c>
      <c r="E3" s="71">
        <v>124.83</v>
      </c>
      <c r="H3" s="67">
        <f>3.5+51.19+32</f>
        <v>86.69</v>
      </c>
    </row>
    <row r="4" spans="1:14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4" s="71" customFormat="1" x14ac:dyDescent="0.2">
      <c r="A5" s="70" t="s">
        <v>196</v>
      </c>
      <c r="B5" s="70">
        <f>316+85-F9-F10 +F11+ 5*B39</f>
        <v>332.5</v>
      </c>
      <c r="C5" s="70">
        <f t="shared" si="0"/>
        <v>332.5</v>
      </c>
      <c r="E5" s="72"/>
      <c r="F5" s="72"/>
      <c r="G5" s="72"/>
      <c r="M5" s="71">
        <f>312-150+40</f>
        <v>202</v>
      </c>
    </row>
    <row r="6" spans="1:14" s="71" customFormat="1" x14ac:dyDescent="0.2">
      <c r="A6" s="70" t="s">
        <v>216</v>
      </c>
      <c r="B6" s="70">
        <f>59.08+53.33+14.42+11.8+27.9+19.9+5.5</f>
        <v>191.93</v>
      </c>
      <c r="C6" s="70">
        <f t="shared" si="0"/>
        <v>191.93</v>
      </c>
      <c r="D6" s="99" t="s">
        <v>233</v>
      </c>
      <c r="E6" s="72">
        <f>SUM(E2:E5)</f>
        <v>316.76</v>
      </c>
      <c r="F6" s="72"/>
      <c r="H6" s="72">
        <f>SUM(H2:H5)</f>
        <v>401.02000000000004</v>
      </c>
    </row>
    <row r="7" spans="1:14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4" s="71" customFormat="1" x14ac:dyDescent="0.2">
      <c r="A8" s="70" t="s">
        <v>171</v>
      </c>
      <c r="B8" s="70">
        <v>150</v>
      </c>
      <c r="C8" s="70">
        <f t="shared" si="0"/>
        <v>150</v>
      </c>
      <c r="E8" s="72" t="s">
        <v>241</v>
      </c>
      <c r="H8" s="72" t="s">
        <v>242</v>
      </c>
      <c r="I8" s="72"/>
    </row>
    <row r="9" spans="1:14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252</v>
      </c>
      <c r="I9" s="71">
        <v>1037</v>
      </c>
      <c r="K9" s="71">
        <v>62.9</v>
      </c>
    </row>
    <row r="10" spans="1:14" x14ac:dyDescent="0.2">
      <c r="A10" s="68" t="s">
        <v>186</v>
      </c>
      <c r="B10" s="68">
        <v>0</v>
      </c>
      <c r="C10" s="68">
        <v>0</v>
      </c>
      <c r="D10" s="94"/>
      <c r="E10" s="68" t="s">
        <v>237</v>
      </c>
      <c r="F10" s="67">
        <v>62.84</v>
      </c>
      <c r="H10" s="67" t="s">
        <v>253</v>
      </c>
      <c r="I10" s="67">
        <v>-400</v>
      </c>
      <c r="K10" s="67">
        <v>50</v>
      </c>
    </row>
    <row r="11" spans="1:14" s="71" customFormat="1" x14ac:dyDescent="0.2">
      <c r="A11" s="70" t="s">
        <v>13</v>
      </c>
      <c r="B11" s="70">
        <v>170.89</v>
      </c>
      <c r="C11" s="70">
        <f>B11</f>
        <v>170.89</v>
      </c>
      <c r="D11" s="67"/>
      <c r="E11" s="67" t="s">
        <v>260</v>
      </c>
      <c r="F11" s="67">
        <v>73.290000000000006</v>
      </c>
      <c r="G11" s="67"/>
      <c r="H11" s="67" t="s">
        <v>254</v>
      </c>
      <c r="I11" s="67">
        <v>78.400000000000006</v>
      </c>
      <c r="J11" s="67"/>
      <c r="K11" s="67">
        <v>93</v>
      </c>
      <c r="L11" s="67"/>
      <c r="M11" s="67"/>
      <c r="N11" s="67"/>
    </row>
    <row r="12" spans="1:14" s="71" customFormat="1" x14ac:dyDescent="0.2">
      <c r="A12" s="70" t="s">
        <v>94</v>
      </c>
      <c r="B12" s="70">
        <v>118.6</v>
      </c>
      <c r="C12" s="70">
        <f>B12</f>
        <v>118.6</v>
      </c>
      <c r="D12" s="67"/>
      <c r="E12" s="68" t="s">
        <v>239</v>
      </c>
      <c r="F12" s="67">
        <v>124.83</v>
      </c>
      <c r="G12" s="67"/>
      <c r="H12" s="68" t="s">
        <v>240</v>
      </c>
      <c r="I12" s="67">
        <v>150</v>
      </c>
      <c r="J12" s="67"/>
      <c r="K12" s="97">
        <f>K9+K10+K11</f>
        <v>205.9</v>
      </c>
      <c r="L12" s="67"/>
      <c r="M12" s="67"/>
      <c r="N12" s="67"/>
    </row>
    <row r="13" spans="1:14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v>150</v>
      </c>
      <c r="H13" s="70" t="s">
        <v>251</v>
      </c>
      <c r="I13" s="71">
        <v>25</v>
      </c>
    </row>
    <row r="14" spans="1:14" s="71" customFormat="1" x14ac:dyDescent="0.2">
      <c r="A14" s="70" t="s">
        <v>26</v>
      </c>
      <c r="B14" s="70">
        <f>I35</f>
        <v>325.52687900000001</v>
      </c>
      <c r="C14" s="70">
        <f>B14</f>
        <v>325.52687900000001</v>
      </c>
      <c r="E14" s="70" t="s">
        <v>251</v>
      </c>
      <c r="F14" s="71">
        <v>25</v>
      </c>
      <c r="H14" s="71" t="s">
        <v>257</v>
      </c>
      <c r="I14" s="71">
        <f>64.9/3</f>
        <v>21.633333333333336</v>
      </c>
    </row>
    <row r="15" spans="1:14" x14ac:dyDescent="0.2">
      <c r="A15" s="68" t="s">
        <v>32</v>
      </c>
      <c r="B15" s="68">
        <v>0</v>
      </c>
      <c r="C15" s="68">
        <v>0</v>
      </c>
      <c r="E15" s="67" t="s">
        <v>257</v>
      </c>
      <c r="F15" s="67">
        <f>64.9/3</f>
        <v>21.633333333333336</v>
      </c>
      <c r="H15" s="67" t="s">
        <v>258</v>
      </c>
      <c r="I15" s="67">
        <v>100</v>
      </c>
    </row>
    <row r="16" spans="1:14" s="71" customFormat="1" x14ac:dyDescent="0.2">
      <c r="A16" s="70" t="s">
        <v>84</v>
      </c>
      <c r="B16" s="70">
        <v>155</v>
      </c>
      <c r="C16" s="70">
        <f>B16</f>
        <v>155</v>
      </c>
      <c r="E16" s="71" t="s">
        <v>259</v>
      </c>
      <c r="F16" s="71">
        <f>181.7/3</f>
        <v>60.566666666666663</v>
      </c>
      <c r="H16" s="71" t="s">
        <v>259</v>
      </c>
      <c r="I16" s="71">
        <f>181.7/3</f>
        <v>60.566666666666663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98">
        <f>SUM(F9:F18)</f>
        <v>611.36000000000013</v>
      </c>
      <c r="H19" s="67" t="s">
        <v>246</v>
      </c>
      <c r="I19" s="98">
        <f>SUM(I9:I18)</f>
        <v>1072.5999999999999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 t="s">
        <v>261</v>
      </c>
    </row>
    <row r="22" spans="1:10" s="71" customFormat="1" x14ac:dyDescent="0.2">
      <c r="A22" s="73" t="s">
        <v>263</v>
      </c>
      <c r="B22" s="70">
        <v>50</v>
      </c>
      <c r="C22" s="70">
        <f>B22</f>
        <v>50</v>
      </c>
      <c r="E22" s="71">
        <f>3*B8+B9+B22+B23</f>
        <v>655</v>
      </c>
    </row>
    <row r="23" spans="1:10" s="71" customFormat="1" x14ac:dyDescent="0.2">
      <c r="A23" s="73" t="s">
        <v>264</v>
      </c>
      <c r="B23" s="70">
        <v>70</v>
      </c>
      <c r="C23" s="70">
        <f>B23</f>
        <v>70</v>
      </c>
    </row>
    <row r="24" spans="1:10" x14ac:dyDescent="0.2">
      <c r="A24" s="74" t="s">
        <v>265</v>
      </c>
      <c r="B24" s="68">
        <v>0</v>
      </c>
      <c r="C24" s="68"/>
    </row>
    <row r="25" spans="1:10" x14ac:dyDescent="0.2">
      <c r="A25" s="74" t="s">
        <v>197</v>
      </c>
      <c r="B25" s="68">
        <v>0</v>
      </c>
      <c r="C25" s="68">
        <v>0</v>
      </c>
    </row>
    <row r="26" spans="1:10" x14ac:dyDescent="0.2">
      <c r="A26" s="75" t="s">
        <v>112</v>
      </c>
      <c r="B26" s="68">
        <v>0</v>
      </c>
      <c r="C26" s="68">
        <v>0</v>
      </c>
      <c r="E26" s="76"/>
    </row>
    <row r="27" spans="1:10" s="71" customFormat="1" x14ac:dyDescent="0.2">
      <c r="A27" s="77" t="s">
        <v>218</v>
      </c>
      <c r="B27" s="70">
        <f>298</f>
        <v>298</v>
      </c>
      <c r="C27" s="70">
        <f>298</f>
        <v>298</v>
      </c>
      <c r="E27" s="78"/>
    </row>
    <row r="28" spans="1:10" s="71" customFormat="1" x14ac:dyDescent="0.2">
      <c r="A28" s="77" t="s">
        <v>256</v>
      </c>
      <c r="B28" s="70">
        <v>40</v>
      </c>
      <c r="C28" s="70">
        <f>B28</f>
        <v>40</v>
      </c>
      <c r="E28" s="78"/>
    </row>
    <row r="29" spans="1:10" s="71" customFormat="1" x14ac:dyDescent="0.2">
      <c r="A29" s="77" t="s">
        <v>166</v>
      </c>
      <c r="B29" s="70">
        <v>257.44</v>
      </c>
      <c r="C29" s="70">
        <f>B29</f>
        <v>257.44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s="71" customFormat="1" x14ac:dyDescent="0.2">
      <c r="A31" s="77" t="s">
        <v>262</v>
      </c>
      <c r="B31" s="70">
        <v>100</v>
      </c>
      <c r="C31" s="70">
        <f>B31</f>
        <v>100</v>
      </c>
      <c r="E31" s="78"/>
    </row>
    <row r="32" spans="1:10" x14ac:dyDescent="0.2">
      <c r="A32" s="75" t="s">
        <v>255</v>
      </c>
      <c r="B32" s="68">
        <v>200</v>
      </c>
      <c r="C32" s="68"/>
      <c r="E32" s="76"/>
    </row>
    <row r="33" spans="1:10" x14ac:dyDescent="0.2">
      <c r="C33" s="68">
        <v>0</v>
      </c>
      <c r="E33" s="67">
        <f>2701.23-B35</f>
        <v>2501.23</v>
      </c>
      <c r="I33" s="66"/>
    </row>
    <row r="34" spans="1:10" ht="12" thickBot="1" x14ac:dyDescent="0.25">
      <c r="A34" s="67" t="s">
        <v>31</v>
      </c>
      <c r="B34" s="67">
        <f>SUM(C2:C32)</f>
        <v>3305.8868790000001</v>
      </c>
      <c r="C34" s="68">
        <v>0</v>
      </c>
      <c r="I34" s="66" t="s">
        <v>34</v>
      </c>
    </row>
    <row r="35" spans="1:10" x14ac:dyDescent="0.2">
      <c r="A35" s="79" t="s">
        <v>24</v>
      </c>
      <c r="B35" s="80">
        <f>B37-B34</f>
        <v>200</v>
      </c>
      <c r="C35" s="81"/>
      <c r="G35" s="67">
        <v>15013</v>
      </c>
      <c r="H35" s="67">
        <f>B14/2.8</f>
        <v>116.25959964285715</v>
      </c>
      <c r="I35" s="66">
        <f>433.66*(G35)/(G35+G36)</f>
        <v>325.52687900000001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I36" s="66"/>
    </row>
    <row r="37" spans="1:10" x14ac:dyDescent="0.2">
      <c r="A37" s="82" t="s">
        <v>20</v>
      </c>
      <c r="B37" s="85">
        <f>SUM(B2:B19)+SUM(B20:B32)</f>
        <v>3505.8868790000001</v>
      </c>
      <c r="C37" s="86"/>
      <c r="D37" s="67">
        <f>D36-B35</f>
        <v>4412</v>
      </c>
      <c r="E37" s="69"/>
      <c r="G37" s="67">
        <f>SUM(G35:G36)</f>
        <v>20000</v>
      </c>
      <c r="I37" s="76">
        <f>2200/B39</f>
        <v>771.92982456140351</v>
      </c>
    </row>
    <row r="38" spans="1:10" x14ac:dyDescent="0.2">
      <c r="A38" s="82"/>
      <c r="B38" s="83">
        <f>B37</f>
        <v>3505.8868790000001</v>
      </c>
      <c r="C38" s="84"/>
      <c r="D38" s="76"/>
      <c r="E38" s="66" t="s">
        <v>78</v>
      </c>
      <c r="G38" s="67">
        <f>G35/B39</f>
        <v>5267.7192982456136</v>
      </c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6">
        <f>10500-B37</f>
        <v>6994.1131210000003</v>
      </c>
      <c r="F39" s="66"/>
    </row>
    <row r="40" spans="1:10" ht="12" thickBot="1" x14ac:dyDescent="0.25">
      <c r="A40" s="88"/>
      <c r="B40" s="89"/>
      <c r="C40" s="90"/>
      <c r="D40" s="66"/>
      <c r="E40" s="66">
        <f>E39/B39</f>
        <v>2454.0747792982456</v>
      </c>
      <c r="F40" s="66"/>
    </row>
    <row r="41" spans="1:10" x14ac:dyDescent="0.2">
      <c r="D41" s="66"/>
      <c r="E41" s="66"/>
    </row>
    <row r="42" spans="1:10" x14ac:dyDescent="0.2">
      <c r="B42" s="67">
        <f>B37*3</f>
        <v>10517.660637000001</v>
      </c>
      <c r="D42" s="66"/>
      <c r="E42" s="66"/>
      <c r="F42" s="66"/>
    </row>
    <row r="43" spans="1:10" x14ac:dyDescent="0.2">
      <c r="C43" s="67">
        <f>B42-D43</f>
        <v>10517.660637000001</v>
      </c>
      <c r="D43" s="67">
        <f>SUM(D39:D42)</f>
        <v>0</v>
      </c>
    </row>
    <row r="44" spans="1:10" x14ac:dyDescent="0.2">
      <c r="D44" s="67">
        <f>D43/B37</f>
        <v>0</v>
      </c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  <pageSetup orientation="portrait"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activeCell="F23" sqref="F23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58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79.56</v>
      </c>
      <c r="H2" s="71">
        <f>F9+F10+F11</f>
        <v>229.33000000000004</v>
      </c>
      <c r="I2" s="93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1">
        <f>F12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316+85-F9-F10 +F11+ 5*B37</f>
        <v>332.5</v>
      </c>
      <c r="C5" s="70">
        <f t="shared" ref="C5:C10" si="0">B5</f>
        <v>332.5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204.4-F12</f>
        <v>79.56</v>
      </c>
      <c r="C6" s="70">
        <f t="shared" si="0"/>
        <v>79.56</v>
      </c>
      <c r="D6" s="99" t="s">
        <v>233</v>
      </c>
      <c r="E6" s="72">
        <f>SUM(E2:E5)</f>
        <v>204.4</v>
      </c>
      <c r="F6" s="72"/>
      <c r="H6" s="72">
        <f>SUM(H2:H5)</f>
        <v>401.02000000000004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E24/3</f>
        <v>116.66666666666667</v>
      </c>
      <c r="C8" s="70">
        <f t="shared" si="0"/>
        <v>116.66666666666667</v>
      </c>
      <c r="D8" s="71" t="s">
        <v>315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271</v>
      </c>
      <c r="I9" s="71">
        <v>1072.5999999999999</v>
      </c>
      <c r="K9" s="71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1" t="s">
        <v>260</v>
      </c>
      <c r="F11" s="71">
        <v>73.290000000000006</v>
      </c>
      <c r="H11" s="70" t="s">
        <v>240</v>
      </c>
      <c r="I11" s="71">
        <f>E24/3</f>
        <v>116.66666666666667</v>
      </c>
      <c r="K11" s="71">
        <v>93</v>
      </c>
    </row>
    <row r="12" spans="1:13" s="71" customFormat="1" x14ac:dyDescent="0.2">
      <c r="A12" s="70" t="s">
        <v>94</v>
      </c>
      <c r="B12" s="70">
        <v>113.5</v>
      </c>
      <c r="C12" s="70">
        <f>B12</f>
        <v>113.5</v>
      </c>
      <c r="D12" s="67"/>
      <c r="E12" s="68" t="s">
        <v>239</v>
      </c>
      <c r="F12" s="67">
        <v>124.84</v>
      </c>
      <c r="G12" s="67"/>
      <c r="H12" s="67" t="s">
        <v>267</v>
      </c>
      <c r="I12" s="67">
        <f>59.8/3</f>
        <v>19.933333333333334</v>
      </c>
      <c r="J12" s="67"/>
      <c r="K12" s="67">
        <f>K9+K10+K11</f>
        <v>205.9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f>E24/3</f>
        <v>116.66666666666667</v>
      </c>
      <c r="H13" s="70" t="s">
        <v>287</v>
      </c>
      <c r="I13" s="71">
        <v>100</v>
      </c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1" t="s">
        <v>267</v>
      </c>
      <c r="F14" s="71">
        <f>59.8/3</f>
        <v>19.933333333333334</v>
      </c>
      <c r="H14" s="71" t="s">
        <v>312</v>
      </c>
      <c r="I14" s="71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288</v>
      </c>
      <c r="F15" s="67">
        <v>100</v>
      </c>
      <c r="H15" s="71" t="s">
        <v>317</v>
      </c>
      <c r="I15" s="71">
        <v>-450</v>
      </c>
    </row>
    <row r="16" spans="1:13" s="71" customFormat="1" x14ac:dyDescent="0.2">
      <c r="A16" s="70" t="s">
        <v>84</v>
      </c>
      <c r="B16" s="70">
        <v>160</v>
      </c>
      <c r="C16" s="70">
        <f>B16</f>
        <v>160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314</v>
      </c>
      <c r="F17" s="67">
        <v>-300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318</v>
      </c>
      <c r="F18" s="67">
        <v>-290.77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101">
        <f>SUM(F9:F18)</f>
        <v>0</v>
      </c>
      <c r="H19" s="67" t="s">
        <v>246</v>
      </c>
      <c r="I19" s="101">
        <f>SUM(I9:I18)</f>
        <v>479.19999999999982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s="71" customFormat="1" x14ac:dyDescent="0.2">
      <c r="A23" s="77" t="s">
        <v>218</v>
      </c>
      <c r="B23" s="70">
        <v>299</v>
      </c>
      <c r="C23" s="70">
        <f>B23</f>
        <v>299</v>
      </c>
      <c r="D23" s="71" t="s">
        <v>270</v>
      </c>
      <c r="F23" s="71">
        <f>-8/27*F22</f>
        <v>-148.14814814814815</v>
      </c>
    </row>
    <row r="24" spans="1:10" s="71" customFormat="1" x14ac:dyDescent="0.2">
      <c r="A24" s="77" t="s">
        <v>256</v>
      </c>
      <c r="B24" s="70">
        <v>20</v>
      </c>
      <c r="C24" s="70">
        <v>20</v>
      </c>
      <c r="E24" s="78">
        <v>350</v>
      </c>
      <c r="F24" s="78">
        <f>F22+F23</f>
        <v>351.85185185185185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/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  <c r="E26" s="78">
        <v>20140816</v>
      </c>
      <c r="F26" s="71" t="s">
        <v>316</v>
      </c>
      <c r="J26" s="71" t="s">
        <v>319</v>
      </c>
    </row>
    <row r="27" spans="1:10" s="71" customFormat="1" x14ac:dyDescent="0.2">
      <c r="A27" s="77" t="s">
        <v>273</v>
      </c>
      <c r="B27" s="70">
        <v>250</v>
      </c>
      <c r="C27" s="70">
        <f>B27</f>
        <v>250</v>
      </c>
      <c r="E27" s="78"/>
    </row>
    <row r="28" spans="1:10" s="71" customFormat="1" x14ac:dyDescent="0.2">
      <c r="A28" s="77" t="s">
        <v>286</v>
      </c>
      <c r="B28" s="70">
        <v>100</v>
      </c>
      <c r="C28" s="70">
        <f>B28</f>
        <v>100</v>
      </c>
      <c r="E28" s="78"/>
    </row>
    <row r="29" spans="1:10" s="71" customFormat="1" x14ac:dyDescent="0.2">
      <c r="A29" s="71" t="s">
        <v>266</v>
      </c>
      <c r="B29" s="71">
        <v>100</v>
      </c>
      <c r="C29" s="71">
        <f>B29</f>
        <v>100</v>
      </c>
      <c r="E29" s="78"/>
    </row>
    <row r="30" spans="1:10" x14ac:dyDescent="0.2">
      <c r="A30" s="75"/>
      <c r="B30" s="68"/>
      <c r="C30" s="68">
        <v>0</v>
      </c>
      <c r="E30" s="76"/>
    </row>
    <row r="31" spans="1:10" x14ac:dyDescent="0.2">
      <c r="C31" s="68">
        <v>0</v>
      </c>
      <c r="E31" s="67">
        <f>2701.23-B33</f>
        <v>2701.23</v>
      </c>
      <c r="F31" s="67">
        <f>50+85</f>
        <v>135</v>
      </c>
      <c r="I31" s="66"/>
    </row>
    <row r="32" spans="1:10" ht="12" thickBot="1" x14ac:dyDescent="0.25">
      <c r="A32" s="67" t="s">
        <v>31</v>
      </c>
      <c r="B32" s="67">
        <f>SUM(C2:C30)</f>
        <v>3439.0835456666669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0</v>
      </c>
      <c r="C33" s="100">
        <f>1300-B32-140</f>
        <v>-2279.0835456666669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D34" s="67">
        <v>4612</v>
      </c>
      <c r="G34" s="67">
        <v>4987</v>
      </c>
      <c r="I34" s="66"/>
    </row>
    <row r="35" spans="1:10" x14ac:dyDescent="0.2">
      <c r="A35" s="82" t="s">
        <v>20</v>
      </c>
      <c r="B35" s="85">
        <f>SUM(B2:B19)+SUM(B20:B30)</f>
        <v>3439.0835456666669</v>
      </c>
      <c r="C35" s="86"/>
      <c r="D35" s="67">
        <f>D34-B33</f>
        <v>4612</v>
      </c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3439.0835456666669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7060.9164543333336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2477.5145453801169</v>
      </c>
      <c r="F38" s="66"/>
    </row>
    <row r="39" spans="1:10" x14ac:dyDescent="0.2">
      <c r="D39" s="66"/>
      <c r="E39" s="66"/>
    </row>
    <row r="40" spans="1:10" x14ac:dyDescent="0.2">
      <c r="B40" s="67">
        <f>B35*3</f>
        <v>10317.250637000001</v>
      </c>
      <c r="D40" s="66"/>
      <c r="E40" s="66"/>
      <c r="F40" s="66"/>
    </row>
    <row r="41" spans="1:10" x14ac:dyDescent="0.2">
      <c r="C41" s="67">
        <f>B40-D41</f>
        <v>10317.250637000001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C21" sqref="C21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400</v>
      </c>
      <c r="C3" s="3" t="s">
        <v>23</v>
      </c>
      <c r="D3" s="3">
        <f>B3</f>
        <v>400</v>
      </c>
      <c r="E3" s="3" t="s">
        <v>23</v>
      </c>
      <c r="F3" s="3">
        <v>15023</v>
      </c>
      <c r="G3" s="3" t="s">
        <v>28</v>
      </c>
      <c r="J3" s="3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C5" s="3" t="s">
        <v>23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v>515</v>
      </c>
      <c r="C6" s="3" t="s">
        <v>5</v>
      </c>
      <c r="D6" s="3">
        <f t="shared" ref="D6:D13" si="0">B6</f>
        <v>515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 t="shared" si="0"/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 t="shared" si="0"/>
        <v>122.18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23</v>
      </c>
      <c r="D9" s="3">
        <f t="shared" si="0"/>
        <v>60</v>
      </c>
      <c r="E9" s="3" t="s">
        <v>23</v>
      </c>
    </row>
    <row r="10" spans="1:10" s="3" customFormat="1" x14ac:dyDescent="0.25">
      <c r="A10" s="3" t="s">
        <v>17</v>
      </c>
      <c r="B10" s="3">
        <v>10</v>
      </c>
      <c r="C10" s="3" t="s">
        <v>23</v>
      </c>
      <c r="D10" s="3">
        <f t="shared" si="0"/>
        <v>10</v>
      </c>
      <c r="E10" s="3" t="s">
        <v>23</v>
      </c>
      <c r="J10" s="5"/>
    </row>
    <row r="11" spans="1:10" s="3" customFormat="1" x14ac:dyDescent="0.25">
      <c r="A11" s="3" t="s">
        <v>26</v>
      </c>
      <c r="B11" s="3">
        <f>J18</f>
        <v>325.52687900000001</v>
      </c>
      <c r="C11" s="3" t="s">
        <v>5</v>
      </c>
      <c r="D11" s="3">
        <f t="shared" si="0"/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 t="shared" si="0"/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120</v>
      </c>
      <c r="C13" s="3" t="s">
        <v>5</v>
      </c>
      <c r="D13" s="3">
        <f t="shared" si="0"/>
        <v>120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38</v>
      </c>
      <c r="B15" s="3">
        <v>20</v>
      </c>
      <c r="D15" s="3">
        <v>20</v>
      </c>
      <c r="J15" s="5"/>
    </row>
    <row r="16" spans="1:10" s="4" customFormat="1" x14ac:dyDescent="0.25">
      <c r="G16">
        <v>57.16</v>
      </c>
      <c r="H16" s="4">
        <f>D3-B3</f>
        <v>0</v>
      </c>
      <c r="J16" s="7"/>
    </row>
    <row r="17" spans="1:10" s="4" customFormat="1" x14ac:dyDescent="0.25">
      <c r="A17" s="4" t="s">
        <v>31</v>
      </c>
      <c r="B17" s="4">
        <f>SUM(D3:D15)</f>
        <v>2718.360079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0</v>
      </c>
      <c r="G18"/>
      <c r="H18" s="4">
        <v>15013</v>
      </c>
      <c r="I18" s="4">
        <f>B11/2.8</f>
        <v>116.25959964285715</v>
      </c>
      <c r="J18" s="7">
        <f>433.66*(H18)/(H18+H19)</f>
        <v>325.52687900000001</v>
      </c>
    </row>
    <row r="19" spans="1:10" s="4" customFormat="1" x14ac:dyDescent="0.25">
      <c r="D19" s="4">
        <f>B11+B7</f>
        <v>417.52687900000001</v>
      </c>
      <c r="E19" s="4">
        <f>B6+D19</f>
        <v>932.52687900000001</v>
      </c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2718.360079</v>
      </c>
      <c r="C20" s="6"/>
      <c r="D20" s="6"/>
      <c r="H20">
        <f>SUM(H18:H19)</f>
        <v>20000</v>
      </c>
    </row>
    <row r="21" spans="1:10" x14ac:dyDescent="0.25">
      <c r="B21">
        <f>B20/2.74</f>
        <v>992.10221861313858</v>
      </c>
    </row>
    <row r="22" spans="1:10" x14ac:dyDescent="0.25">
      <c r="A22" s="2"/>
      <c r="E22" s="2" t="s">
        <v>21</v>
      </c>
      <c r="H22">
        <f>SUM(B11,B7)</f>
        <v>417.52687900000001</v>
      </c>
      <c r="I22">
        <f>SUM(B6,H22)</f>
        <v>932.52687900000001</v>
      </c>
    </row>
    <row r="23" spans="1:10" x14ac:dyDescent="0.25">
      <c r="E23" s="2">
        <f>1305-B21</f>
        <v>312.89778138686142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</row>
  </sheetData>
  <pageMargins left="0.7" right="0.7" top="0.75" bottom="0.75" header="0.3" footer="0.3"/>
  <pageSetup paperSize="9" orientation="portrait" horizontalDpi="200" verticalDpi="200"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106" zoomScaleNormal="106" workbookViewId="0">
      <selection activeCell="D35" sqref="D3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324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68" t="s">
        <v>4</v>
      </c>
      <c r="B2" s="68">
        <v>400</v>
      </c>
      <c r="C2" s="68">
        <v>350</v>
      </c>
      <c r="E2" s="67">
        <f>B6</f>
        <v>0</v>
      </c>
      <c r="H2" s="67" t="e">
        <f>F9+F10+#REF!</f>
        <v>#REF!</v>
      </c>
      <c r="I2" s="69"/>
    </row>
    <row r="3" spans="1:13" s="71" customFormat="1" x14ac:dyDescent="0.2">
      <c r="A3" s="70" t="s">
        <v>7</v>
      </c>
      <c r="B3" s="70">
        <v>204.75</v>
      </c>
      <c r="C3" s="70">
        <f>B3</f>
        <v>204.75</v>
      </c>
      <c r="E3" s="71">
        <f>F11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>B5</f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0</v>
      </c>
      <c r="C6" s="70">
        <v>0</v>
      </c>
      <c r="D6" s="99" t="s">
        <v>233</v>
      </c>
      <c r="E6" s="72">
        <f>SUM(E2:E5)</f>
        <v>124.84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ref="C7:C12" si="0">B7</f>
        <v>200</v>
      </c>
      <c r="I7" s="66"/>
    </row>
    <row r="8" spans="1:13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101" t="s">
        <v>241</v>
      </c>
      <c r="H8" s="101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239</v>
      </c>
      <c r="F11" s="67">
        <v>124.84</v>
      </c>
      <c r="H11" s="68" t="s">
        <v>362</v>
      </c>
      <c r="I11" s="67">
        <f>F24/3</f>
        <v>166.66666666666666</v>
      </c>
      <c r="K11" s="67">
        <v>93</v>
      </c>
    </row>
    <row r="12" spans="1:13" s="71" customFormat="1" x14ac:dyDescent="0.2">
      <c r="A12" s="70" t="s">
        <v>94</v>
      </c>
      <c r="B12" s="70">
        <v>129.01</v>
      </c>
      <c r="C12" s="70">
        <f t="shared" si="0"/>
        <v>129.01</v>
      </c>
      <c r="E12" s="70" t="s">
        <v>240</v>
      </c>
      <c r="F12" s="71">
        <f>F24/3</f>
        <v>166.66666666666666</v>
      </c>
      <c r="H12" s="71" t="s">
        <v>267</v>
      </c>
      <c r="I12" s="71">
        <f>59.8/3</f>
        <v>19.933333333333334</v>
      </c>
      <c r="K12" s="71">
        <f>K9+K10+K11</f>
        <v>205.9</v>
      </c>
    </row>
    <row r="13" spans="1:13" x14ac:dyDescent="0.2">
      <c r="A13" s="68" t="s">
        <v>17</v>
      </c>
      <c r="B13" s="68">
        <v>12</v>
      </c>
      <c r="C13" s="68">
        <v>0</v>
      </c>
      <c r="E13" s="67" t="s">
        <v>288</v>
      </c>
      <c r="F13" s="67">
        <v>100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I34</f>
        <v>325.52687900000001</v>
      </c>
      <c r="C14" s="70">
        <f>B14</f>
        <v>325.52687900000001</v>
      </c>
      <c r="E14" s="67" t="s">
        <v>355</v>
      </c>
      <c r="F14" s="67">
        <v>45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356</v>
      </c>
      <c r="F15" s="67">
        <v>-400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7" t="s">
        <v>357</v>
      </c>
      <c r="F16" s="67">
        <v>10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358</v>
      </c>
      <c r="F17" s="67">
        <v>10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360</v>
      </c>
      <c r="F18" s="67">
        <v>-67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361</v>
      </c>
      <c r="F19" s="67">
        <v>-145.5</v>
      </c>
      <c r="J19" s="66"/>
    </row>
    <row r="20" spans="1:10" x14ac:dyDescent="0.2">
      <c r="A20" s="74" t="s">
        <v>61</v>
      </c>
      <c r="B20" s="68"/>
      <c r="C20" s="68">
        <v>0</v>
      </c>
      <c r="E20" s="91" t="s">
        <v>233</v>
      </c>
      <c r="F20" s="101">
        <f>SUM(F9:F19)</f>
        <v>4.6666666666624224E-2</v>
      </c>
      <c r="H20" s="91" t="s">
        <v>246</v>
      </c>
      <c r="I20" s="101">
        <f>SUM(I9:I18)</f>
        <v>624.29999999999984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x14ac:dyDescent="0.2">
      <c r="A23" s="77" t="s">
        <v>218</v>
      </c>
      <c r="B23" s="70">
        <v>299</v>
      </c>
      <c r="C23" s="70">
        <f>B23</f>
        <v>299</v>
      </c>
      <c r="D23" s="67" t="s">
        <v>270</v>
      </c>
      <c r="E23" s="67">
        <f>B14+B29+B30+F13</f>
        <v>725.52687900000001</v>
      </c>
      <c r="F23" s="67">
        <v>0</v>
      </c>
    </row>
    <row r="24" spans="1:10" x14ac:dyDescent="0.2">
      <c r="A24" s="75" t="s">
        <v>256</v>
      </c>
      <c r="B24" s="68">
        <v>0</v>
      </c>
      <c r="C24" s="68">
        <v>0</v>
      </c>
      <c r="E24" s="76">
        <f>400+B9</f>
        <v>485</v>
      </c>
      <c r="F24" s="76">
        <f>F22+F23</f>
        <v>500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>
        <f>E23+E24</f>
        <v>1210.526879</v>
      </c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</row>
    <row r="27" spans="1:10" s="71" customFormat="1" x14ac:dyDescent="0.2">
      <c r="A27" s="77" t="s">
        <v>354</v>
      </c>
      <c r="B27" s="70">
        <v>300</v>
      </c>
      <c r="C27" s="70">
        <v>300</v>
      </c>
    </row>
    <row r="28" spans="1:10" x14ac:dyDescent="0.2">
      <c r="A28" s="75" t="s">
        <v>330</v>
      </c>
      <c r="B28" s="68">
        <v>10</v>
      </c>
      <c r="C28" s="68"/>
      <c r="E28" s="105"/>
      <c r="F28" s="68"/>
      <c r="G28" s="68"/>
      <c r="H28" s="68"/>
      <c r="I28" s="68"/>
      <c r="J28" s="106"/>
    </row>
    <row r="29" spans="1:10" x14ac:dyDescent="0.2">
      <c r="A29" s="77" t="s">
        <v>328</v>
      </c>
      <c r="B29" s="70">
        <f>G30</f>
        <v>200</v>
      </c>
      <c r="C29" s="70">
        <f>B29</f>
        <v>200</v>
      </c>
      <c r="E29" s="76"/>
      <c r="F29" s="67" t="s">
        <v>352</v>
      </c>
      <c r="G29" s="67">
        <v>100</v>
      </c>
      <c r="H29" s="67" t="s">
        <v>353</v>
      </c>
      <c r="J29" s="104" t="s">
        <v>327</v>
      </c>
    </row>
    <row r="30" spans="1:10" x14ac:dyDescent="0.2">
      <c r="A30" s="77" t="s">
        <v>286</v>
      </c>
      <c r="B30" s="70">
        <f>G29</f>
        <v>100</v>
      </c>
      <c r="C30" s="70">
        <f>B30</f>
        <v>100</v>
      </c>
      <c r="E30" s="103">
        <v>20140825</v>
      </c>
      <c r="F30" s="83" t="s">
        <v>329</v>
      </c>
      <c r="G30" s="83">
        <v>200</v>
      </c>
      <c r="H30" s="83" t="s">
        <v>326</v>
      </c>
      <c r="I30" s="83"/>
      <c r="J30" s="104" t="s">
        <v>327</v>
      </c>
    </row>
    <row r="31" spans="1:10" x14ac:dyDescent="0.2">
      <c r="A31" s="75"/>
      <c r="B31" s="68"/>
      <c r="C31" s="68">
        <v>0</v>
      </c>
      <c r="E31" s="76"/>
      <c r="F31" s="67" t="s">
        <v>233</v>
      </c>
      <c r="G31" s="67">
        <f>SUM(G29:G30)</f>
        <v>300</v>
      </c>
    </row>
    <row r="32" spans="1:10" x14ac:dyDescent="0.2">
      <c r="C32" s="68">
        <v>0</v>
      </c>
      <c r="I32" s="66"/>
    </row>
    <row r="33" spans="1:10" ht="12" thickBot="1" x14ac:dyDescent="0.25">
      <c r="A33" s="67" t="s">
        <v>31</v>
      </c>
      <c r="B33" s="67">
        <f>SUM(C2:C31)</f>
        <v>3545.2835456666667</v>
      </c>
      <c r="C33" s="68">
        <v>0</v>
      </c>
      <c r="I33" s="66" t="s">
        <v>34</v>
      </c>
    </row>
    <row r="34" spans="1:10" x14ac:dyDescent="0.2">
      <c r="A34" s="79" t="s">
        <v>24</v>
      </c>
      <c r="B34" s="80">
        <f>B36-B33</f>
        <v>72</v>
      </c>
      <c r="C34" s="100"/>
      <c r="G34" s="67">
        <v>15013</v>
      </c>
      <c r="H34" s="67">
        <f>B14/2.8</f>
        <v>116.25959964285715</v>
      </c>
      <c r="I34" s="66">
        <f>433.66*(G34)/(G34+G35)</f>
        <v>325.52687900000001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/>
    </row>
    <row r="36" spans="1:10" x14ac:dyDescent="0.2">
      <c r="A36" s="82" t="s">
        <v>20</v>
      </c>
      <c r="B36" s="85">
        <f>SUM(B2:B19)+SUM(B20:B31)</f>
        <v>3617.2835456666667</v>
      </c>
      <c r="C36" s="86"/>
      <c r="D36" s="67">
        <f>D35-B34</f>
        <v>4540</v>
      </c>
      <c r="E36" s="69"/>
      <c r="G36" s="67">
        <f>SUM(G34:G35)</f>
        <v>20000</v>
      </c>
      <c r="I36" s="76">
        <f>2200/B38</f>
        <v>771.92982456140351</v>
      </c>
    </row>
    <row r="37" spans="1:10" x14ac:dyDescent="0.2">
      <c r="A37" s="82"/>
      <c r="B37" s="83">
        <f>B36</f>
        <v>3617.2835456666667</v>
      </c>
      <c r="C37" s="84"/>
      <c r="D37" s="76"/>
      <c r="E37" s="66" t="s">
        <v>78</v>
      </c>
      <c r="G37" s="67">
        <f>G34/B38</f>
        <v>5267.7192982456136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6882.7164543333329</v>
      </c>
      <c r="F38" s="66"/>
    </row>
    <row r="39" spans="1:10" ht="12" thickBot="1" x14ac:dyDescent="0.25">
      <c r="A39" s="88"/>
      <c r="B39" s="89"/>
      <c r="C39" s="90"/>
      <c r="D39" s="66"/>
      <c r="E39" s="66">
        <f>E38/B38</f>
        <v>2414.9882295906432</v>
      </c>
      <c r="F39" s="66"/>
    </row>
    <row r="40" spans="1:10" x14ac:dyDescent="0.2">
      <c r="D40" s="66"/>
      <c r="E40" s="66"/>
    </row>
    <row r="41" spans="1:10" x14ac:dyDescent="0.2">
      <c r="B41" s="67">
        <f>B36*3</f>
        <v>10851.850637</v>
      </c>
      <c r="D41" s="66"/>
      <c r="E41" s="66"/>
      <c r="F41" s="66"/>
    </row>
    <row r="42" spans="1:10" x14ac:dyDescent="0.2">
      <c r="C42" s="67">
        <f>B41-D42</f>
        <v>10851.850637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90" zoomScaleNormal="90" workbookViewId="0">
      <selection activeCell="A28" sqref="A2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22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198.75</v>
      </c>
      <c r="H2" s="71" t="e">
        <f>F9+F10+#REF!</f>
        <v>#REF!</v>
      </c>
      <c r="I2" s="93"/>
    </row>
    <row r="3" spans="1:13" x14ac:dyDescent="0.2">
      <c r="A3" s="70" t="s">
        <v>7</v>
      </c>
      <c r="B3" s="70">
        <v>239</v>
      </c>
      <c r="C3" s="70">
        <v>239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ref="C4:C11" si="0"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 t="shared" si="0"/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198.75</v>
      </c>
      <c r="C6" s="70">
        <f t="shared" si="0"/>
        <v>198.75</v>
      </c>
      <c r="D6" s="99" t="s">
        <v>233</v>
      </c>
      <c r="E6" s="72" t="e">
        <f>SUM(E2:E5)</f>
        <v>#REF!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s="71" customFormat="1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66" t="s">
        <v>241</v>
      </c>
      <c r="F8" s="67"/>
      <c r="H8" s="66" t="s">
        <v>242</v>
      </c>
      <c r="I8" s="66"/>
      <c r="J8" s="67"/>
      <c r="K8" s="67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94"/>
      <c r="E10" s="68" t="s">
        <v>237</v>
      </c>
      <c r="F10" s="67">
        <v>62.84</v>
      </c>
      <c r="H10" s="67" t="s">
        <v>272</v>
      </c>
      <c r="I10" s="67">
        <v>-400</v>
      </c>
      <c r="K10" s="67">
        <v>50</v>
      </c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F24/3</f>
        <v>166.66666666666666</v>
      </c>
      <c r="H11" s="68" t="s">
        <v>362</v>
      </c>
      <c r="I11" s="67">
        <f>F24/3</f>
        <v>166.66666666666666</v>
      </c>
      <c r="J11" s="67"/>
      <c r="K11" s="67">
        <v>93</v>
      </c>
    </row>
    <row r="12" spans="1:13" x14ac:dyDescent="0.2">
      <c r="A12" s="70" t="s">
        <v>94</v>
      </c>
      <c r="B12" s="70">
        <v>37.61</v>
      </c>
      <c r="C12" s="70">
        <v>37.61</v>
      </c>
      <c r="E12" s="67" t="s">
        <v>385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 t="s">
        <v>377</v>
      </c>
      <c r="F13" s="67">
        <v>-300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I36</f>
        <v>325.52687900000001</v>
      </c>
      <c r="C14" s="70">
        <f>B14</f>
        <v>325.52687900000001</v>
      </c>
      <c r="E14" s="67" t="s">
        <v>378</v>
      </c>
      <c r="F14" s="67">
        <v>-26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380</v>
      </c>
      <c r="F15" s="67">
        <v>17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D16" s="67" t="s">
        <v>375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H17" s="67" t="s">
        <v>371</v>
      </c>
      <c r="I17" s="67">
        <v>20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H18" s="67" t="s">
        <v>372</v>
      </c>
      <c r="I18" s="67">
        <v>15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H19" s="68" t="s">
        <v>376</v>
      </c>
      <c r="I19" s="67">
        <v>166.66666666666666</v>
      </c>
      <c r="J19" s="66"/>
    </row>
    <row r="20" spans="1:10" x14ac:dyDescent="0.2">
      <c r="A20" s="74" t="s">
        <v>61</v>
      </c>
      <c r="B20" s="68"/>
      <c r="C20" s="68">
        <v>0</v>
      </c>
      <c r="E20" s="109" t="s">
        <v>233</v>
      </c>
      <c r="F20" s="110">
        <f>SUM(F9:F18)</f>
        <v>13.706666666666706</v>
      </c>
      <c r="H20" s="67" t="s">
        <v>380</v>
      </c>
      <c r="I20" s="67">
        <v>17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/>
    </row>
    <row r="22" spans="1:10" x14ac:dyDescent="0.2">
      <c r="A22" s="75" t="s">
        <v>112</v>
      </c>
      <c r="B22" s="68">
        <v>0</v>
      </c>
      <c r="C22" s="68">
        <v>0</v>
      </c>
      <c r="E22" s="76"/>
      <c r="F22" s="76">
        <v>500</v>
      </c>
      <c r="H22" s="109" t="s">
        <v>246</v>
      </c>
      <c r="I22" s="110">
        <f>SUM(I9:I20)</f>
        <v>842.96666666666647</v>
      </c>
    </row>
    <row r="23" spans="1:10" s="71" customFormat="1" x14ac:dyDescent="0.2">
      <c r="A23" s="77" t="s">
        <v>218</v>
      </c>
      <c r="B23" s="70">
        <v>469</v>
      </c>
      <c r="C23" s="70">
        <f t="shared" ref="C23:C28" si="1">B23</f>
        <v>469</v>
      </c>
      <c r="D23" s="71" t="s">
        <v>370</v>
      </c>
      <c r="F23" s="71">
        <v>0</v>
      </c>
      <c r="H23" s="67"/>
      <c r="I23" s="67"/>
    </row>
    <row r="24" spans="1:10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f>F22+F23</f>
        <v>500</v>
      </c>
      <c r="H24" s="71"/>
      <c r="I24" s="71"/>
    </row>
    <row r="25" spans="1:10" s="71" customFormat="1" x14ac:dyDescent="0.2">
      <c r="A25" s="77" t="s">
        <v>166</v>
      </c>
      <c r="B25" s="70">
        <v>257.44</v>
      </c>
      <c r="C25" s="70">
        <f t="shared" si="1"/>
        <v>257.44</v>
      </c>
      <c r="E25" s="78"/>
      <c r="H25" s="67"/>
      <c r="I25" s="67"/>
    </row>
    <row r="26" spans="1:10" s="71" customFormat="1" x14ac:dyDescent="0.2">
      <c r="A26" s="77" t="s">
        <v>167</v>
      </c>
      <c r="B26" s="70">
        <v>50</v>
      </c>
      <c r="C26" s="70">
        <f t="shared" si="1"/>
        <v>50</v>
      </c>
      <c r="D26" s="71">
        <f>B3+B12</f>
        <v>276.61</v>
      </c>
    </row>
    <row r="27" spans="1:10" x14ac:dyDescent="0.2">
      <c r="A27" s="77" t="s">
        <v>286</v>
      </c>
      <c r="B27" s="70">
        <v>100</v>
      </c>
      <c r="C27" s="70">
        <f t="shared" si="1"/>
        <v>100</v>
      </c>
      <c r="H27" s="71"/>
      <c r="I27" s="71"/>
    </row>
    <row r="28" spans="1:10" x14ac:dyDescent="0.2">
      <c r="A28" s="77" t="s">
        <v>373</v>
      </c>
      <c r="B28" s="70">
        <v>60</v>
      </c>
      <c r="C28" s="70">
        <f t="shared" si="1"/>
        <v>60</v>
      </c>
      <c r="E28" s="105"/>
      <c r="F28" s="68"/>
      <c r="G28" s="68"/>
      <c r="J28" s="68"/>
    </row>
    <row r="29" spans="1:10" s="71" customFormat="1" x14ac:dyDescent="0.2">
      <c r="A29" s="77" t="s">
        <v>374</v>
      </c>
      <c r="B29" s="70">
        <f>25*4</f>
        <v>100</v>
      </c>
      <c r="C29" s="70">
        <f>40+20+40</f>
        <v>100</v>
      </c>
      <c r="E29" s="78"/>
      <c r="J29" s="111"/>
    </row>
    <row r="30" spans="1:10" x14ac:dyDescent="0.2">
      <c r="A30" s="71" t="s">
        <v>379</v>
      </c>
      <c r="B30" s="71">
        <v>150</v>
      </c>
      <c r="C30" s="71">
        <f>B30</f>
        <v>150</v>
      </c>
      <c r="E30" s="103"/>
      <c r="F30" s="83"/>
      <c r="G30" s="83"/>
      <c r="H30" s="68"/>
      <c r="I30" s="68"/>
      <c r="J30" s="83"/>
    </row>
    <row r="31" spans="1:10" x14ac:dyDescent="0.2">
      <c r="A31" s="75"/>
      <c r="B31" s="68"/>
      <c r="C31" s="68">
        <v>0</v>
      </c>
      <c r="E31" s="76"/>
    </row>
    <row r="32" spans="1:10" x14ac:dyDescent="0.2">
      <c r="C32" s="68">
        <v>0</v>
      </c>
      <c r="H32" s="83"/>
      <c r="I32" s="83"/>
    </row>
    <row r="33" spans="1:10" ht="12" thickBot="1" x14ac:dyDescent="0.25">
      <c r="A33" s="67" t="s">
        <v>31</v>
      </c>
      <c r="B33" s="67">
        <f>SUM(C2:C31)</f>
        <v>3748.883545666667</v>
      </c>
      <c r="C33" s="68">
        <v>0</v>
      </c>
    </row>
    <row r="34" spans="1:10" x14ac:dyDescent="0.2">
      <c r="A34" s="79" t="s">
        <v>24</v>
      </c>
      <c r="B34" s="80">
        <f>B36-B33</f>
        <v>0</v>
      </c>
      <c r="C34" s="100"/>
      <c r="G34" s="67">
        <v>15013</v>
      </c>
      <c r="I34" s="66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 t="s">
        <v>34</v>
      </c>
    </row>
    <row r="36" spans="1:10" x14ac:dyDescent="0.2">
      <c r="A36" s="82" t="s">
        <v>20</v>
      </c>
      <c r="B36" s="85">
        <f>SUM(B2:B19)+SUM(B20:B31)</f>
        <v>3748.883545666667</v>
      </c>
      <c r="C36" s="86"/>
      <c r="D36" s="67">
        <f>D35-B34</f>
        <v>4612</v>
      </c>
      <c r="E36" s="69"/>
      <c r="G36" s="67">
        <f>SUM(G34:G35)</f>
        <v>20000</v>
      </c>
      <c r="H36" s="67">
        <f>B14/2.8</f>
        <v>116.25959964285715</v>
      </c>
      <c r="I36" s="66">
        <f>433.66*(G34)/(G34+G35)</f>
        <v>325.52687900000001</v>
      </c>
    </row>
    <row r="37" spans="1:10" x14ac:dyDescent="0.2">
      <c r="A37" s="82"/>
      <c r="B37" s="83">
        <f>B36</f>
        <v>3748.883545666667</v>
      </c>
      <c r="C37" s="84"/>
      <c r="D37" s="76"/>
      <c r="E37" s="66" t="s">
        <v>78</v>
      </c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6751.1164543333325</v>
      </c>
      <c r="F38" s="66"/>
      <c r="I38" s="76">
        <f>2200/B38</f>
        <v>771.92982456140351</v>
      </c>
    </row>
    <row r="39" spans="1:10" ht="12" thickBot="1" x14ac:dyDescent="0.25">
      <c r="A39" s="88"/>
      <c r="B39" s="89"/>
      <c r="C39" s="90"/>
      <c r="D39" s="66"/>
      <c r="E39" s="66">
        <f>E38/B38</f>
        <v>2368.8127909941518</v>
      </c>
      <c r="F39" s="66"/>
    </row>
    <row r="40" spans="1:10" x14ac:dyDescent="0.2">
      <c r="D40" s="66"/>
      <c r="E40" s="66"/>
    </row>
    <row r="41" spans="1:10" x14ac:dyDescent="0.2">
      <c r="B41" s="67">
        <f>B36*3</f>
        <v>11246.650637000001</v>
      </c>
      <c r="D41" s="66"/>
      <c r="E41" s="66"/>
      <c r="F41" s="66"/>
    </row>
    <row r="42" spans="1:10" x14ac:dyDescent="0.2">
      <c r="C42" s="67">
        <f>B41-D42</f>
        <v>11246.650637000001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workbookViewId="0">
      <selection activeCell="A28" sqref="A2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  <c r="E1" s="67" t="s">
        <v>249</v>
      </c>
      <c r="H1" s="67" t="s">
        <v>250</v>
      </c>
    </row>
    <row r="2" spans="1:13" ht="12" customHeight="1" x14ac:dyDescent="0.2">
      <c r="A2" s="70" t="s">
        <v>4</v>
      </c>
      <c r="B2" s="70">
        <v>400</v>
      </c>
      <c r="C2" s="70">
        <f>B2</f>
        <v>400</v>
      </c>
      <c r="E2" s="67">
        <f>B6</f>
        <v>116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3" x14ac:dyDescent="0.2">
      <c r="A5" s="70" t="s">
        <v>196</v>
      </c>
      <c r="B5" s="70">
        <v>144</v>
      </c>
      <c r="C5" s="70">
        <f t="shared" si="0"/>
        <v>144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116</v>
      </c>
      <c r="C6" s="70">
        <f t="shared" si="0"/>
        <v>116</v>
      </c>
      <c r="D6" s="113" t="s">
        <v>233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67">
        <f>B7+B8+B9+B14+B27+B28</f>
        <v>910.31182523655912</v>
      </c>
      <c r="I7" s="66"/>
    </row>
    <row r="8" spans="1:13" x14ac:dyDescent="0.2">
      <c r="A8" s="70" t="s">
        <v>171</v>
      </c>
      <c r="B8" s="70">
        <f>F26/3</f>
        <v>139.78494623655914</v>
      </c>
      <c r="C8" s="70">
        <f t="shared" si="0"/>
        <v>139.78494623655914</v>
      </c>
      <c r="D8" s="67">
        <f>B14+B27+B28</f>
        <v>485.52687900000001</v>
      </c>
      <c r="E8" s="66" t="s">
        <v>241</v>
      </c>
      <c r="H8" s="66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114">
        <v>30</v>
      </c>
      <c r="E9" s="67" t="s">
        <v>382</v>
      </c>
      <c r="F9" s="66">
        <v>13.706666666666999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14">
        <f>D8+D9</f>
        <v>515.52687900000001</v>
      </c>
      <c r="E10" s="68" t="s">
        <v>383</v>
      </c>
      <c r="F10" s="67">
        <v>62.85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F26/3</f>
        <v>139.78494623655914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E12" s="67" t="s">
        <v>288</v>
      </c>
      <c r="F12" s="67">
        <v>100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I42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68" t="s">
        <v>79</v>
      </c>
      <c r="B17" s="68">
        <v>0</v>
      </c>
      <c r="C17" s="68">
        <f>B17</f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68" t="s">
        <v>87</v>
      </c>
      <c r="B18" s="68">
        <v>0</v>
      </c>
      <c r="C18" s="68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68" t="s">
        <v>89</v>
      </c>
      <c r="B19" s="68">
        <v>0</v>
      </c>
      <c r="C19" s="68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4" t="s">
        <v>61</v>
      </c>
      <c r="B20" s="68"/>
      <c r="C20" s="68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4" t="s">
        <v>221</v>
      </c>
      <c r="B21" s="68">
        <v>0</v>
      </c>
      <c r="C21" s="68">
        <v>0</v>
      </c>
      <c r="H21" s="68" t="s">
        <v>384</v>
      </c>
      <c r="I21" s="68">
        <f>F26/3</f>
        <v>139.78494623655914</v>
      </c>
    </row>
    <row r="22" spans="1:14" x14ac:dyDescent="0.2">
      <c r="A22" s="75" t="s">
        <v>112</v>
      </c>
      <c r="B22" s="68">
        <v>0</v>
      </c>
      <c r="C22" s="68">
        <v>0</v>
      </c>
      <c r="E22" s="91" t="s">
        <v>233</v>
      </c>
      <c r="F22" s="101">
        <f>SUM(F9:F20)</f>
        <v>316.34161290322612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 t="shared" ref="C23:C28" si="1">B23</f>
        <v>469</v>
      </c>
      <c r="E23" s="66"/>
      <c r="F23" s="66"/>
    </row>
    <row r="24" spans="1:14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v>500</v>
      </c>
    </row>
    <row r="25" spans="1:14" x14ac:dyDescent="0.2">
      <c r="A25" s="77" t="s">
        <v>166</v>
      </c>
      <c r="B25" s="70">
        <v>257.44</v>
      </c>
      <c r="C25" s="70">
        <f t="shared" si="1"/>
        <v>257.44</v>
      </c>
      <c r="F25" s="67">
        <f>F24*(5/31)</f>
        <v>80.645161290322577</v>
      </c>
      <c r="H25" s="109" t="s">
        <v>246</v>
      </c>
      <c r="I25" s="110">
        <f>SUM(I9:I24)</f>
        <v>982.75161290322558</v>
      </c>
    </row>
    <row r="26" spans="1:14" x14ac:dyDescent="0.2">
      <c r="A26" s="77" t="s">
        <v>167</v>
      </c>
      <c r="B26" s="70">
        <v>50</v>
      </c>
      <c r="C26" s="70">
        <f t="shared" si="1"/>
        <v>50</v>
      </c>
      <c r="D26" s="67">
        <f>B3+B12</f>
        <v>249.95</v>
      </c>
      <c r="E26" s="76"/>
      <c r="F26" s="76">
        <f>F24-F25</f>
        <v>419.35483870967744</v>
      </c>
    </row>
    <row r="27" spans="1:14" x14ac:dyDescent="0.2">
      <c r="A27" s="77" t="s">
        <v>286</v>
      </c>
      <c r="B27" s="70">
        <v>100</v>
      </c>
      <c r="C27" s="70">
        <f t="shared" si="1"/>
        <v>100</v>
      </c>
      <c r="E27" s="76"/>
    </row>
    <row r="28" spans="1:14" x14ac:dyDescent="0.2">
      <c r="A28" s="77" t="s">
        <v>381</v>
      </c>
      <c r="B28" s="70">
        <v>60</v>
      </c>
      <c r="C28" s="70">
        <f t="shared" si="1"/>
        <v>60</v>
      </c>
      <c r="E28" s="67">
        <f>1505-B37</f>
        <v>1505</v>
      </c>
      <c r="G28" s="68"/>
      <c r="J28" s="68"/>
    </row>
    <row r="29" spans="1:14" x14ac:dyDescent="0.2">
      <c r="A29" s="77" t="s">
        <v>374</v>
      </c>
      <c r="B29" s="70">
        <v>200</v>
      </c>
      <c r="C29" s="70">
        <f>B29</f>
        <v>200</v>
      </c>
      <c r="J29" s="83"/>
    </row>
    <row r="30" spans="1:14" x14ac:dyDescent="0.2">
      <c r="A30" s="77" t="s">
        <v>392</v>
      </c>
      <c r="B30" s="70">
        <f>13*6</f>
        <v>78</v>
      </c>
      <c r="C30" s="70">
        <f>B30</f>
        <v>78</v>
      </c>
      <c r="J30" s="83"/>
    </row>
    <row r="31" spans="1:14" x14ac:dyDescent="0.2">
      <c r="A31" s="77" t="s">
        <v>393</v>
      </c>
      <c r="B31" s="70">
        <v>50</v>
      </c>
      <c r="C31" s="70">
        <f>B31</f>
        <v>50</v>
      </c>
      <c r="J31" s="83"/>
    </row>
    <row r="32" spans="1:14" x14ac:dyDescent="0.2">
      <c r="A32" s="77" t="s">
        <v>394</v>
      </c>
      <c r="B32" s="70">
        <f>80+50+50</f>
        <v>180</v>
      </c>
      <c r="C32" s="70">
        <f>B32</f>
        <v>180</v>
      </c>
      <c r="J32" s="83"/>
    </row>
    <row r="33" spans="1:10" x14ac:dyDescent="0.2">
      <c r="A33" s="71" t="s">
        <v>395</v>
      </c>
      <c r="B33" s="71">
        <v>20</v>
      </c>
      <c r="C33" s="70">
        <f>B33</f>
        <v>20</v>
      </c>
      <c r="E33" s="105"/>
      <c r="F33" s="68"/>
      <c r="G33" s="83"/>
      <c r="J33" s="83"/>
    </row>
    <row r="34" spans="1:10" x14ac:dyDescent="0.2">
      <c r="A34" s="75"/>
      <c r="B34" s="68"/>
      <c r="C34" s="68">
        <v>0</v>
      </c>
      <c r="E34" s="76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3684.5918252365591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0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D38" s="67">
        <v>4612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SUM(B2:B19)+SUM(B20:B34)</f>
        <v>3684.5918252365591</v>
      </c>
      <c r="C39" s="86"/>
      <c r="D39" s="67">
        <f>D38-B37</f>
        <v>4612</v>
      </c>
      <c r="G39" s="67">
        <f>SUM(G37:G38)</f>
        <v>20000</v>
      </c>
    </row>
    <row r="40" spans="1:10" x14ac:dyDescent="0.2">
      <c r="A40" s="82"/>
      <c r="B40" s="83">
        <f>B39</f>
        <v>3684.5918252365591</v>
      </c>
      <c r="C40" s="84"/>
      <c r="D40" s="76"/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>
        <f>N38</f>
        <v>0</v>
      </c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 t="s">
        <v>78</v>
      </c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/>
      <c r="E43" s="66">
        <f>10500-B39</f>
        <v>6815.4081747634409</v>
      </c>
      <c r="F43" s="66"/>
      <c r="I43" s="66"/>
    </row>
    <row r="44" spans="1:10" x14ac:dyDescent="0.2">
      <c r="B44" s="67">
        <f>B39*3</f>
        <v>11053.775475709677</v>
      </c>
      <c r="D44" s="66"/>
      <c r="E44" s="66">
        <f>E43/B41</f>
        <v>2391.3712893906809</v>
      </c>
      <c r="F44" s="66"/>
      <c r="I44" s="76">
        <f>2200/B41</f>
        <v>771.92982456140351</v>
      </c>
    </row>
    <row r="45" spans="1:10" x14ac:dyDescent="0.2">
      <c r="C45" s="67">
        <f>B44-D45</f>
        <v>11053.775475709677</v>
      </c>
      <c r="D45" s="67">
        <f>SUM(D41:D44)</f>
        <v>0</v>
      </c>
      <c r="E45" s="66"/>
    </row>
    <row r="46" spans="1:10" x14ac:dyDescent="0.2">
      <c r="D46" s="67">
        <f>D45/B39</f>
        <v>0</v>
      </c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5"/>
  <sheetViews>
    <sheetView workbookViewId="0">
      <selection activeCell="E16" sqref="E1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H1" s="67" t="s">
        <v>250</v>
      </c>
    </row>
    <row r="2" spans="1:13" x14ac:dyDescent="0.2">
      <c r="A2" s="68" t="s">
        <v>4</v>
      </c>
      <c r="B2" s="68">
        <v>400</v>
      </c>
      <c r="C2" s="68">
        <v>300</v>
      </c>
      <c r="H2" s="67" t="e">
        <f>#REF!+#REF!+#REF!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D3" s="118"/>
      <c r="E3" s="118"/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118" t="s">
        <v>405</v>
      </c>
      <c r="E4" s="119">
        <v>1104</v>
      </c>
      <c r="H4" s="67">
        <v>85</v>
      </c>
    </row>
    <row r="5" spans="1:13" x14ac:dyDescent="0.2">
      <c r="A5" s="70" t="s">
        <v>196</v>
      </c>
      <c r="B5" s="70">
        <v>78</v>
      </c>
      <c r="C5" s="70">
        <f t="shared" si="0"/>
        <v>78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276</v>
      </c>
      <c r="C6" s="70">
        <f t="shared" si="0"/>
        <v>276</v>
      </c>
      <c r="D6" s="120" t="s">
        <v>404</v>
      </c>
      <c r="E6" s="119">
        <f>SUM(E2:E5)</f>
        <v>1104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f>F24/3 + 100</f>
        <v>266.66666666666663</v>
      </c>
      <c r="C8" s="70">
        <f t="shared" si="0"/>
        <v>266.66666666666663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f t="shared" si="0"/>
        <v>85</v>
      </c>
      <c r="D9" s="114"/>
      <c r="E9" s="68" t="s">
        <v>240</v>
      </c>
      <c r="F9" s="67">
        <f>F24/3</f>
        <v>166.66666666666666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21">
        <f>B14+B26+B27+118+20</f>
        <v>608.52687900000001</v>
      </c>
      <c r="E10" s="67" t="s">
        <v>288</v>
      </c>
      <c r="F10" s="67">
        <v>100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H11" s="68" t="s">
        <v>362</v>
      </c>
      <c r="I11" s="67">
        <f>F22/3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D12" s="76"/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68" t="s">
        <v>17</v>
      </c>
      <c r="B13" s="68">
        <v>12</v>
      </c>
      <c r="C13" s="68">
        <v>6</v>
      </c>
      <c r="D13" s="67">
        <f>40*B38</f>
        <v>114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I38</f>
        <v>325.52687900000001</v>
      </c>
      <c r="C14" s="70">
        <f>B14</f>
        <v>325.52687900000001</v>
      </c>
      <c r="E14" s="68"/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E15" s="68"/>
      <c r="F15" s="68"/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/>
      <c r="F16" s="68"/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E20" s="67" t="s">
        <v>233</v>
      </c>
      <c r="F20" s="66">
        <f>SUM(F9:F18)</f>
        <v>266.66666666666663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E21" s="66"/>
      <c r="F21" s="66"/>
      <c r="H21" s="68" t="s">
        <v>384</v>
      </c>
      <c r="I21" s="68">
        <f>F24/3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76"/>
      <c r="F22" s="76">
        <v>500</v>
      </c>
    </row>
    <row r="23" spans="1:14" x14ac:dyDescent="0.2">
      <c r="A23" s="77" t="s">
        <v>218</v>
      </c>
      <c r="B23" s="70">
        <v>0</v>
      </c>
      <c r="C23" s="70">
        <v>0</v>
      </c>
      <c r="F23" s="67">
        <f>F22*(0/31)</f>
        <v>0</v>
      </c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f>F22-F23</f>
        <v>500</v>
      </c>
      <c r="H24" s="67" t="s">
        <v>246</v>
      </c>
      <c r="I24" s="66">
        <f>SUM(I9:I21)</f>
        <v>1009.6333333333331</v>
      </c>
    </row>
    <row r="25" spans="1:14" x14ac:dyDescent="0.2">
      <c r="A25" s="77" t="s">
        <v>167</v>
      </c>
      <c r="B25" s="70">
        <v>50</v>
      </c>
      <c r="C25" s="70">
        <f>B25</f>
        <v>50</v>
      </c>
      <c r="E25" s="76"/>
    </row>
    <row r="26" spans="1:14" x14ac:dyDescent="0.2">
      <c r="A26" s="77" t="s">
        <v>286</v>
      </c>
      <c r="B26" s="70">
        <v>85</v>
      </c>
      <c r="C26" s="70">
        <f>B26</f>
        <v>85</v>
      </c>
      <c r="D26" s="67">
        <f>B3+B12</f>
        <v>249.95</v>
      </c>
      <c r="E26" s="67" t="s">
        <v>176</v>
      </c>
      <c r="F26" s="71">
        <f>F9+B8</f>
        <v>433.33333333333326</v>
      </c>
    </row>
    <row r="27" spans="1:14" x14ac:dyDescent="0.2">
      <c r="A27" s="77" t="s">
        <v>403</v>
      </c>
      <c r="B27" s="70">
        <v>60</v>
      </c>
      <c r="C27" s="70">
        <f>B27</f>
        <v>60</v>
      </c>
      <c r="E27" s="67">
        <f>500-F9</f>
        <v>333.33333333333337</v>
      </c>
    </row>
    <row r="28" spans="1:14" x14ac:dyDescent="0.2">
      <c r="A28" s="77" t="s">
        <v>374</v>
      </c>
      <c r="B28" s="70">
        <v>0</v>
      </c>
      <c r="C28" s="70">
        <v>0</v>
      </c>
      <c r="G28" s="68"/>
      <c r="J28" s="68"/>
    </row>
    <row r="29" spans="1:14" x14ac:dyDescent="0.2">
      <c r="A29" s="77" t="s">
        <v>396</v>
      </c>
      <c r="B29" s="70">
        <v>553.29999999999995</v>
      </c>
      <c r="C29" s="70">
        <f>B55</f>
        <v>553.29999999999995</v>
      </c>
      <c r="E29" s="105"/>
      <c r="F29" s="68"/>
      <c r="J29" s="83"/>
    </row>
    <row r="30" spans="1:14" x14ac:dyDescent="0.2">
      <c r="E30" s="76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H32" s="68"/>
      <c r="I32" s="68"/>
    </row>
    <row r="33" spans="1:10" ht="12" thickBot="1" x14ac:dyDescent="0.25">
      <c r="A33" s="67" t="s">
        <v>31</v>
      </c>
      <c r="B33" s="67">
        <f>SUM(C2:C31)</f>
        <v>3320.7735456666669</v>
      </c>
      <c r="C33" s="68">
        <v>0</v>
      </c>
    </row>
    <row r="34" spans="1:10" x14ac:dyDescent="0.2">
      <c r="A34" s="79" t="s">
        <v>24</v>
      </c>
      <c r="B34" s="80">
        <f>B36-B33</f>
        <v>106</v>
      </c>
      <c r="C34" s="100"/>
      <c r="G34" s="67">
        <v>15013</v>
      </c>
      <c r="H34" s="83"/>
      <c r="I34" s="83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</row>
    <row r="36" spans="1:10" x14ac:dyDescent="0.2">
      <c r="A36" s="82" t="s">
        <v>20</v>
      </c>
      <c r="B36" s="85">
        <f>SUM(B2:B19)+SUM(B20:B31)</f>
        <v>3426.7735456666669</v>
      </c>
      <c r="C36" s="86"/>
      <c r="D36" s="67">
        <f>D35-B34</f>
        <v>4506</v>
      </c>
      <c r="E36" s="69"/>
      <c r="G36" s="67">
        <f>SUM(G34:G35)</f>
        <v>20000</v>
      </c>
      <c r="I36" s="66"/>
    </row>
    <row r="37" spans="1:10" x14ac:dyDescent="0.2">
      <c r="A37" s="82"/>
      <c r="B37" s="83">
        <f>B36</f>
        <v>3426.7735456666669</v>
      </c>
      <c r="C37" s="84"/>
      <c r="D37" s="76"/>
      <c r="E37" s="66" t="s">
        <v>78</v>
      </c>
      <c r="G37" s="67">
        <f>G34/B38</f>
        <v>5267.7192982456136</v>
      </c>
      <c r="I37" s="66" t="s">
        <v>34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7073.2264543333331</v>
      </c>
      <c r="F38" s="66"/>
      <c r="H38" s="67">
        <f>B14/2.8</f>
        <v>116.25959964285715</v>
      </c>
      <c r="I38" s="66">
        <f>433.66*(G34)/(G34+G35)</f>
        <v>325.52687900000001</v>
      </c>
    </row>
    <row r="39" spans="1:10" ht="12" thickBot="1" x14ac:dyDescent="0.25">
      <c r="A39" s="88"/>
      <c r="B39" s="89"/>
      <c r="C39" s="90"/>
      <c r="D39" s="66"/>
      <c r="E39" s="66">
        <f>E38/B38</f>
        <v>2481.8338436257309</v>
      </c>
      <c r="F39" s="66"/>
      <c r="I39" s="66"/>
    </row>
    <row r="40" spans="1:10" x14ac:dyDescent="0.2">
      <c r="D40" s="66"/>
      <c r="E40" s="66"/>
      <c r="I40" s="76">
        <f>2200/B38</f>
        <v>771.92982456140351</v>
      </c>
    </row>
    <row r="41" spans="1:10" x14ac:dyDescent="0.2">
      <c r="B41" s="67">
        <f>B36*3</f>
        <v>10280.320637000001</v>
      </c>
      <c r="D41" s="66"/>
      <c r="E41" s="66"/>
      <c r="F41" s="66"/>
    </row>
    <row r="42" spans="1:10" x14ac:dyDescent="0.2">
      <c r="C42" s="67">
        <f>B41-D42</f>
        <v>10280.320637000001</v>
      </c>
      <c r="D42" s="67">
        <f>SUM(D38:D41)</f>
        <v>0</v>
      </c>
    </row>
    <row r="43" spans="1:10" x14ac:dyDescent="0.2">
      <c r="D43" s="67">
        <f>D42/B36</f>
        <v>0</v>
      </c>
    </row>
    <row r="44" spans="1:10" x14ac:dyDescent="0.2">
      <c r="A44" s="67" t="s">
        <v>397</v>
      </c>
      <c r="B44" s="116">
        <v>59.9</v>
      </c>
    </row>
    <row r="45" spans="1:10" x14ac:dyDescent="0.2">
      <c r="A45" s="67" t="s">
        <v>398</v>
      </c>
      <c r="B45" s="116">
        <v>75</v>
      </c>
    </row>
    <row r="46" spans="1:10" x14ac:dyDescent="0.2">
      <c r="A46" s="67" t="s">
        <v>399</v>
      </c>
      <c r="B46" s="116">
        <v>15</v>
      </c>
      <c r="D46" s="67">
        <f>282*B38</f>
        <v>803.7</v>
      </c>
    </row>
    <row r="47" spans="1:10" x14ac:dyDescent="0.2">
      <c r="A47" s="67" t="s">
        <v>400</v>
      </c>
      <c r="B47" s="116">
        <v>111</v>
      </c>
    </row>
    <row r="48" spans="1:10" x14ac:dyDescent="0.2">
      <c r="A48" s="67" t="s">
        <v>401</v>
      </c>
      <c r="B48" s="116">
        <v>10</v>
      </c>
    </row>
    <row r="49" spans="1:2" x14ac:dyDescent="0.2">
      <c r="A49" s="66" t="s">
        <v>402</v>
      </c>
      <c r="B49" s="116">
        <v>56.4</v>
      </c>
    </row>
    <row r="50" spans="1:2" x14ac:dyDescent="0.2">
      <c r="A50" s="67" t="s">
        <v>406</v>
      </c>
      <c r="B50" s="117">
        <v>130</v>
      </c>
    </row>
    <row r="51" spans="1:2" x14ac:dyDescent="0.2">
      <c r="A51" s="67" t="s">
        <v>407</v>
      </c>
      <c r="B51" s="116">
        <v>35</v>
      </c>
    </row>
    <row r="52" spans="1:2" x14ac:dyDescent="0.2">
      <c r="A52" s="67" t="s">
        <v>408</v>
      </c>
      <c r="B52" s="116">
        <v>35</v>
      </c>
    </row>
    <row r="53" spans="1:2" x14ac:dyDescent="0.2">
      <c r="A53" s="67" t="s">
        <v>409</v>
      </c>
      <c r="B53" s="116">
        <v>26</v>
      </c>
    </row>
    <row r="54" spans="1:2" x14ac:dyDescent="0.2">
      <c r="B54" s="116"/>
    </row>
    <row r="55" spans="1:2" x14ac:dyDescent="0.2">
      <c r="B55" s="115">
        <f>SUM(B44:B54)</f>
        <v>553.29999999999995</v>
      </c>
    </row>
  </sheetData>
  <pageMargins left="0.7" right="0.7" top="0.75" bottom="0.75" header="0.3" footer="0.3"/>
  <pageSetup paperSize="9" orientation="portrait"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D26" sqref="D2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70" t="s">
        <v>4</v>
      </c>
      <c r="B2" s="70">
        <v>400</v>
      </c>
      <c r="C2" s="70">
        <v>400</v>
      </c>
      <c r="D2" s="67">
        <f>B14+B26</f>
        <v>410.52687900000001</v>
      </c>
      <c r="E2" s="67">
        <f>B6</f>
        <v>206.84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>B3</f>
        <v>204.95</v>
      </c>
      <c r="D3" s="67">
        <v>30</v>
      </c>
      <c r="E3" s="67" t="e">
        <f>#REF!</f>
        <v>#REF!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>B4</f>
        <v>129</v>
      </c>
      <c r="D4" s="67">
        <v>36</v>
      </c>
      <c r="E4" s="66"/>
      <c r="H4" s="67">
        <v>85</v>
      </c>
    </row>
    <row r="5" spans="1:13" x14ac:dyDescent="0.2">
      <c r="A5" s="70" t="s">
        <v>196</v>
      </c>
      <c r="B5" s="70">
        <v>100</v>
      </c>
      <c r="C5" s="70">
        <v>100</v>
      </c>
      <c r="D5" s="67">
        <v>10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206.84</v>
      </c>
      <c r="C6" s="70">
        <f>B6</f>
        <v>206.84</v>
      </c>
      <c r="D6" s="113">
        <v>20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71">
        <v>50</v>
      </c>
      <c r="I7" s="66"/>
    </row>
    <row r="8" spans="1:13" x14ac:dyDescent="0.2">
      <c r="A8" s="70" t="s">
        <v>171</v>
      </c>
      <c r="B8" s="70">
        <f>250</f>
        <v>250</v>
      </c>
      <c r="C8" s="70">
        <v>250</v>
      </c>
      <c r="D8" s="71">
        <v>10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>
        <v>75</v>
      </c>
      <c r="E9" s="67" t="s">
        <v>382</v>
      </c>
      <c r="F9" s="66">
        <v>0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23">
        <v>50</v>
      </c>
      <c r="E10" s="68" t="s">
        <v>383</v>
      </c>
      <c r="F10" s="67">
        <v>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D11" s="67">
        <f>SUM(D2:D10)</f>
        <v>691.52687900000001</v>
      </c>
      <c r="E11" s="68" t="s">
        <v>240</v>
      </c>
      <c r="F11" s="67">
        <v>0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>B12</f>
        <v>45</v>
      </c>
      <c r="D12" s="124"/>
      <c r="E12" s="67" t="s">
        <v>288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I39</f>
        <v>325.52687900000001</v>
      </c>
      <c r="C14" s="70">
        <f>B14</f>
        <v>325.52687900000001</v>
      </c>
      <c r="D14" s="67">
        <f>331-B34</f>
        <v>291</v>
      </c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H21" s="68" t="s">
        <v>384</v>
      </c>
      <c r="I21" s="68">
        <f>F26/3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67" t="s">
        <v>233</v>
      </c>
      <c r="F22" s="66">
        <f>SUM(F9:F20)</f>
        <v>0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>B23</f>
        <v>469</v>
      </c>
      <c r="E23" s="66"/>
      <c r="F23" s="66"/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v>500</v>
      </c>
    </row>
    <row r="25" spans="1:14" x14ac:dyDescent="0.2">
      <c r="A25" s="77" t="s">
        <v>167</v>
      </c>
      <c r="B25" s="70">
        <v>50</v>
      </c>
      <c r="C25" s="70">
        <f>B25</f>
        <v>50</v>
      </c>
      <c r="F25" s="67">
        <f>F24*(0/31)</f>
        <v>0</v>
      </c>
      <c r="H25" s="67" t="s">
        <v>246</v>
      </c>
      <c r="I25" s="66">
        <f>SUM(I9:I24)</f>
        <v>1009.6333333333331</v>
      </c>
    </row>
    <row r="26" spans="1:14" x14ac:dyDescent="0.2">
      <c r="A26" s="77" t="s">
        <v>286</v>
      </c>
      <c r="B26" s="70">
        <v>85</v>
      </c>
      <c r="C26" s="70">
        <f>B26</f>
        <v>85</v>
      </c>
      <c r="E26" s="76"/>
      <c r="F26" s="76">
        <f>F24-F25</f>
        <v>500</v>
      </c>
    </row>
    <row r="27" spans="1:14" x14ac:dyDescent="0.2">
      <c r="A27" s="75" t="s">
        <v>374</v>
      </c>
      <c r="B27" s="68">
        <v>200</v>
      </c>
      <c r="C27" s="68">
        <v>160</v>
      </c>
      <c r="E27" s="76"/>
    </row>
    <row r="28" spans="1:14" x14ac:dyDescent="0.2">
      <c r="A28" s="77" t="s">
        <v>392</v>
      </c>
      <c r="B28" s="70">
        <f>13*6</f>
        <v>78</v>
      </c>
      <c r="C28" s="70">
        <v>78</v>
      </c>
      <c r="E28" s="67">
        <f>1505-B34</f>
        <v>1465</v>
      </c>
      <c r="G28" s="68"/>
      <c r="J28" s="68"/>
    </row>
    <row r="29" spans="1:14" x14ac:dyDescent="0.2">
      <c r="A29" s="71" t="s">
        <v>395</v>
      </c>
      <c r="B29" s="71">
        <v>20</v>
      </c>
      <c r="C29" s="70">
        <f>10+10</f>
        <v>20</v>
      </c>
      <c r="J29" s="83"/>
    </row>
    <row r="30" spans="1:14" x14ac:dyDescent="0.2">
      <c r="E30" s="105"/>
      <c r="F30" s="68"/>
      <c r="G30" s="83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E32" s="103"/>
      <c r="F32" s="83"/>
    </row>
    <row r="33" spans="1:10" ht="12" thickBot="1" x14ac:dyDescent="0.25">
      <c r="A33" s="67" t="s">
        <v>31</v>
      </c>
      <c r="B33" s="67">
        <f>SUM(C2:C31)</f>
        <v>3476.6468789999999</v>
      </c>
      <c r="C33" s="68">
        <v>0</v>
      </c>
      <c r="E33" s="76"/>
      <c r="H33" s="68"/>
      <c r="I33" s="68"/>
    </row>
    <row r="34" spans="1:10" x14ac:dyDescent="0.2">
      <c r="A34" s="79" t="s">
        <v>24</v>
      </c>
      <c r="B34" s="80">
        <f>B36-B33</f>
        <v>40</v>
      </c>
      <c r="C34" s="100"/>
      <c r="G34" s="67">
        <v>15013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H35" s="83"/>
      <c r="I35" s="83"/>
    </row>
    <row r="36" spans="1:10" x14ac:dyDescent="0.2">
      <c r="A36" s="82" t="s">
        <v>20</v>
      </c>
      <c r="B36" s="85">
        <f>SUM(B2:B19)+SUM(B20:B31)</f>
        <v>3516.6468789999999</v>
      </c>
      <c r="C36" s="86"/>
      <c r="D36" s="67">
        <f>D35-B34</f>
        <v>4572</v>
      </c>
      <c r="G36" s="67">
        <f>SUM(G34:G35)</f>
        <v>20000</v>
      </c>
    </row>
    <row r="37" spans="1:10" x14ac:dyDescent="0.2">
      <c r="A37" s="82"/>
      <c r="B37" s="83">
        <f>B36</f>
        <v>3516.6468789999999</v>
      </c>
      <c r="C37" s="84"/>
      <c r="D37" s="76"/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9"/>
      <c r="I38" s="66" t="s">
        <v>34</v>
      </c>
    </row>
    <row r="39" spans="1:10" ht="12" thickBot="1" x14ac:dyDescent="0.25">
      <c r="A39" s="88"/>
      <c r="B39" s="89"/>
      <c r="C39" s="90"/>
      <c r="D39" s="66"/>
      <c r="E39" s="66" t="s">
        <v>78</v>
      </c>
      <c r="H39" s="67">
        <f>B14/2.8</f>
        <v>116.25959964285715</v>
      </c>
      <c r="I39" s="66">
        <f>433.66*(G34)/(G34+G35)</f>
        <v>325.52687900000001</v>
      </c>
    </row>
    <row r="40" spans="1:10" x14ac:dyDescent="0.2">
      <c r="D40" s="66"/>
      <c r="E40" s="66">
        <f>10500-B36</f>
        <v>6983.3531210000001</v>
      </c>
      <c r="F40" s="66"/>
      <c r="I40" s="66"/>
    </row>
    <row r="41" spans="1:10" x14ac:dyDescent="0.2">
      <c r="B41" s="67">
        <f>B36*3</f>
        <v>10549.940637</v>
      </c>
      <c r="D41" s="66"/>
      <c r="E41" s="66">
        <f>E40/B38</f>
        <v>2450.2993407017543</v>
      </c>
      <c r="F41" s="66"/>
      <c r="I41" s="76">
        <f>2200/B38</f>
        <v>771.92982456140351</v>
      </c>
    </row>
    <row r="42" spans="1:10" x14ac:dyDescent="0.2">
      <c r="C42" s="67">
        <f>B41-D42</f>
        <v>10549.940637</v>
      </c>
      <c r="D42" s="67">
        <f>SUM(D38:D41)</f>
        <v>0</v>
      </c>
      <c r="E42" s="66"/>
    </row>
    <row r="43" spans="1:10" x14ac:dyDescent="0.2">
      <c r="D43" s="67">
        <f>D42/B36</f>
        <v>0</v>
      </c>
      <c r="E43" s="66"/>
      <c r="F43" s="66"/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22" sqref="H22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39</v>
      </c>
      <c r="C1" s="67" t="s">
        <v>2</v>
      </c>
      <c r="D1" s="66"/>
      <c r="H1" s="67" t="s">
        <v>250</v>
      </c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206.5</v>
      </c>
      <c r="C3" s="70">
        <f t="shared" si="0"/>
        <v>206.5</v>
      </c>
      <c r="E3" s="67">
        <f>40+6+B14+B15+80+B27</f>
        <v>656.52687900000001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E4" s="66"/>
      <c r="H4" s="67">
        <v>85</v>
      </c>
    </row>
    <row r="5" spans="1:13" x14ac:dyDescent="0.2">
      <c r="A5" s="70" t="s">
        <v>196</v>
      </c>
      <c r="B5" s="70">
        <v>96</v>
      </c>
      <c r="C5" s="70">
        <f t="shared" si="0"/>
        <v>96</v>
      </c>
      <c r="E5" s="72">
        <f>B14+B15+B27+10+30+21.2</f>
        <v>591.72687900000005</v>
      </c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0</v>
      </c>
      <c r="C6" s="70">
        <f t="shared" si="0"/>
        <v>0</v>
      </c>
      <c r="D6" s="113"/>
      <c r="E6" s="66"/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v>0</v>
      </c>
      <c r="C8" s="70">
        <v>0</v>
      </c>
      <c r="D8" s="71"/>
      <c r="E8" s="66">
        <v>4.32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E9" s="67">
        <v>4.4000000000000004</v>
      </c>
      <c r="F9" s="66"/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70</v>
      </c>
      <c r="C10" s="70">
        <f>B10</f>
        <v>70</v>
      </c>
      <c r="D10" s="114"/>
      <c r="E10" s="68">
        <v>10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>
        <f>SUM(E8:E10)</f>
        <v>18.72</v>
      </c>
      <c r="H11" s="68" t="s">
        <v>362</v>
      </c>
      <c r="I11" s="67">
        <f>F25/3</f>
        <v>166.66666666666666</v>
      </c>
      <c r="K11" s="67">
        <v>93</v>
      </c>
    </row>
    <row r="12" spans="1:13" x14ac:dyDescent="0.2">
      <c r="A12" s="70" t="s">
        <v>94</v>
      </c>
      <c r="B12" s="70">
        <v>50.99</v>
      </c>
      <c r="C12" s="70">
        <v>50.99</v>
      </c>
      <c r="E12" s="67">
        <v>-40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f>12</f>
        <v>12</v>
      </c>
      <c r="E13" s="67">
        <f>SUM(E11:E12)</f>
        <v>-21.28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I40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70" t="s">
        <v>419</v>
      </c>
      <c r="B15" s="70">
        <v>120</v>
      </c>
      <c r="C15" s="70">
        <f>B15</f>
        <v>120</v>
      </c>
    </row>
    <row r="16" spans="1:13" x14ac:dyDescent="0.2">
      <c r="A16" s="70" t="s">
        <v>32</v>
      </c>
      <c r="B16" s="70">
        <v>0</v>
      </c>
      <c r="C16" s="70">
        <v>0</v>
      </c>
      <c r="H16" s="67" t="s">
        <v>317</v>
      </c>
      <c r="I16" s="67">
        <v>-450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>
        <f>140*2+B9</f>
        <v>365</v>
      </c>
      <c r="H17" s="67" t="s">
        <v>359</v>
      </c>
      <c r="I17" s="67">
        <v>95.1</v>
      </c>
    </row>
    <row r="18" spans="1:14" x14ac:dyDescent="0.2">
      <c r="A18" s="70" t="s">
        <v>79</v>
      </c>
      <c r="B18" s="70">
        <v>0</v>
      </c>
      <c r="C18" s="70">
        <v>0</v>
      </c>
      <c r="D18" s="68"/>
      <c r="E18" s="68"/>
      <c r="F18" s="68"/>
      <c r="G18" s="68"/>
      <c r="H18" s="67" t="s">
        <v>371</v>
      </c>
      <c r="I18" s="67">
        <v>20</v>
      </c>
      <c r="L18" s="67" t="s">
        <v>371</v>
      </c>
      <c r="M18" s="67">
        <v>20</v>
      </c>
      <c r="N18" s="66"/>
    </row>
    <row r="19" spans="1:14" x14ac:dyDescent="0.2">
      <c r="A19" s="70" t="s">
        <v>87</v>
      </c>
      <c r="B19" s="70">
        <v>0</v>
      </c>
      <c r="C19" s="70">
        <v>0</v>
      </c>
      <c r="D19" s="68"/>
      <c r="E19" s="68"/>
      <c r="F19" s="68"/>
      <c r="G19" s="68"/>
      <c r="H19" s="67" t="s">
        <v>372</v>
      </c>
      <c r="I19" s="67">
        <v>15</v>
      </c>
      <c r="L19" s="67" t="s">
        <v>372</v>
      </c>
      <c r="M19" s="67">
        <v>15</v>
      </c>
      <c r="N19" s="66"/>
    </row>
    <row r="20" spans="1:14" x14ac:dyDescent="0.2">
      <c r="A20" s="70" t="s">
        <v>89</v>
      </c>
      <c r="B20" s="70">
        <v>0</v>
      </c>
      <c r="C20" s="70">
        <v>0</v>
      </c>
      <c r="D20" s="68"/>
      <c r="E20" s="68"/>
      <c r="F20" s="68"/>
      <c r="G20" s="68"/>
      <c r="H20" s="68" t="s">
        <v>376</v>
      </c>
      <c r="I20" s="67">
        <v>166.66666666666666</v>
      </c>
      <c r="L20" s="68" t="s">
        <v>376</v>
      </c>
      <c r="M20" s="67">
        <v>166.66666666666666</v>
      </c>
      <c r="N20" s="66"/>
    </row>
    <row r="21" spans="1:14" x14ac:dyDescent="0.2">
      <c r="A21" s="73" t="s">
        <v>61</v>
      </c>
      <c r="B21" s="70"/>
      <c r="C21" s="70">
        <v>0</v>
      </c>
      <c r="H21" s="67" t="s">
        <v>380</v>
      </c>
      <c r="I21" s="67">
        <v>17</v>
      </c>
      <c r="L21" s="67" t="s">
        <v>380</v>
      </c>
      <c r="M21" s="67">
        <v>17</v>
      </c>
    </row>
    <row r="22" spans="1:14" x14ac:dyDescent="0.2">
      <c r="A22" s="73" t="s">
        <v>221</v>
      </c>
      <c r="B22" s="70">
        <v>0</v>
      </c>
      <c r="C22" s="70">
        <v>0</v>
      </c>
      <c r="H22" s="68" t="s">
        <v>384</v>
      </c>
      <c r="I22" s="68">
        <f>F27/3</f>
        <v>166.66666666666666</v>
      </c>
    </row>
    <row r="23" spans="1:14" x14ac:dyDescent="0.2">
      <c r="A23" s="77" t="s">
        <v>112</v>
      </c>
      <c r="B23" s="70">
        <v>0</v>
      </c>
      <c r="C23" s="70">
        <v>0</v>
      </c>
      <c r="E23" s="67" t="s">
        <v>233</v>
      </c>
      <c r="F23" s="66">
        <f>SUM(F9:F21)</f>
        <v>0</v>
      </c>
      <c r="H23" s="68"/>
      <c r="I23" s="68"/>
    </row>
    <row r="24" spans="1:14" x14ac:dyDescent="0.2">
      <c r="A24" s="77" t="s">
        <v>218</v>
      </c>
      <c r="B24" s="70">
        <v>0</v>
      </c>
      <c r="C24" s="70">
        <v>0</v>
      </c>
      <c r="E24" s="66"/>
      <c r="F24" s="66"/>
    </row>
    <row r="25" spans="1:14" x14ac:dyDescent="0.2">
      <c r="A25" s="77" t="s">
        <v>166</v>
      </c>
      <c r="B25" s="70">
        <v>282.56</v>
      </c>
      <c r="C25" s="70">
        <v>282.56</v>
      </c>
      <c r="E25" s="76"/>
      <c r="F25" s="76">
        <v>500</v>
      </c>
    </row>
    <row r="26" spans="1:14" x14ac:dyDescent="0.2">
      <c r="A26" s="77" t="s">
        <v>167</v>
      </c>
      <c r="B26" s="70">
        <v>50</v>
      </c>
      <c r="C26" s="70">
        <f>B26</f>
        <v>50</v>
      </c>
      <c r="F26" s="67">
        <f>F25*(0/31)</f>
        <v>0</v>
      </c>
      <c r="H26" s="67" t="s">
        <v>246</v>
      </c>
      <c r="I26" s="66">
        <f>SUM(I9:I25)</f>
        <v>1009.6333333333331</v>
      </c>
    </row>
    <row r="27" spans="1:14" x14ac:dyDescent="0.2">
      <c r="A27" s="77" t="s">
        <v>286</v>
      </c>
      <c r="B27" s="70">
        <v>85</v>
      </c>
      <c r="C27" s="70">
        <f>B27</f>
        <v>85</v>
      </c>
      <c r="E27" s="76"/>
      <c r="F27" s="76">
        <f>F25-F26</f>
        <v>500</v>
      </c>
    </row>
    <row r="28" spans="1:14" x14ac:dyDescent="0.2">
      <c r="A28" s="77" t="s">
        <v>374</v>
      </c>
      <c r="B28" s="70">
        <v>0</v>
      </c>
      <c r="C28" s="70">
        <v>0</v>
      </c>
      <c r="E28" s="76"/>
    </row>
    <row r="29" spans="1:14" x14ac:dyDescent="0.2">
      <c r="A29" s="77" t="s">
        <v>392</v>
      </c>
      <c r="B29" s="70">
        <v>0</v>
      </c>
      <c r="C29" s="70">
        <v>0</v>
      </c>
      <c r="E29" s="67">
        <f>1505-B35</f>
        <v>1505</v>
      </c>
      <c r="G29" s="68"/>
      <c r="J29" s="68"/>
    </row>
    <row r="30" spans="1:14" x14ac:dyDescent="0.2">
      <c r="A30" s="71" t="s">
        <v>395</v>
      </c>
      <c r="B30" s="71">
        <v>20</v>
      </c>
      <c r="C30" s="70">
        <f>B30</f>
        <v>20</v>
      </c>
      <c r="J30" s="83"/>
    </row>
    <row r="31" spans="1:14" x14ac:dyDescent="0.2">
      <c r="E31" s="105"/>
      <c r="F31" s="68"/>
      <c r="G31" s="83"/>
      <c r="J31" s="83"/>
    </row>
    <row r="32" spans="1:14" x14ac:dyDescent="0.2">
      <c r="A32" s="75"/>
      <c r="B32" s="68"/>
      <c r="C32" s="68">
        <v>0</v>
      </c>
      <c r="E32" s="76"/>
    </row>
    <row r="33" spans="1:10" x14ac:dyDescent="0.2">
      <c r="C33" s="68">
        <v>0</v>
      </c>
      <c r="E33" s="103"/>
      <c r="F33" s="83"/>
    </row>
    <row r="34" spans="1:10" ht="12" thickBot="1" x14ac:dyDescent="0.25">
      <c r="A34" s="67" t="s">
        <v>31</v>
      </c>
      <c r="B34" s="67">
        <f>SUM(C2:C32)</f>
        <v>2463.4668790000001</v>
      </c>
      <c r="C34" s="68">
        <v>0</v>
      </c>
      <c r="E34" s="76"/>
      <c r="H34" s="68"/>
      <c r="I34" s="68"/>
    </row>
    <row r="35" spans="1:10" x14ac:dyDescent="0.2">
      <c r="A35" s="79" t="s">
        <v>24</v>
      </c>
      <c r="B35" s="80">
        <f>B37-B34</f>
        <v>0</v>
      </c>
      <c r="C35" s="100"/>
      <c r="G35" s="67">
        <v>15013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H36" s="83"/>
      <c r="I36" s="83"/>
    </row>
    <row r="37" spans="1:10" x14ac:dyDescent="0.2">
      <c r="A37" s="82" t="s">
        <v>20</v>
      </c>
      <c r="B37" s="85">
        <f>SUM(B2:B20)+SUM(B21:B32)</f>
        <v>2463.4668790000001</v>
      </c>
      <c r="C37" s="86"/>
      <c r="D37" s="67">
        <f>D36-B35</f>
        <v>4612</v>
      </c>
      <c r="G37" s="67">
        <f>SUM(G35:G36)</f>
        <v>20000</v>
      </c>
    </row>
    <row r="38" spans="1:10" x14ac:dyDescent="0.2">
      <c r="A38" s="82"/>
      <c r="B38" s="83">
        <f>B37</f>
        <v>2463.4668790000001</v>
      </c>
      <c r="C38" s="84"/>
      <c r="D38" s="76"/>
      <c r="G38" s="67">
        <f>G35/B39</f>
        <v>5267.7192982456136</v>
      </c>
      <c r="I38" s="66"/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9"/>
      <c r="I39" s="66" t="s">
        <v>34</v>
      </c>
    </row>
    <row r="40" spans="1:10" ht="12" thickBot="1" x14ac:dyDescent="0.25">
      <c r="A40" s="88"/>
      <c r="B40" s="89"/>
      <c r="C40" s="90"/>
      <c r="D40" s="66"/>
      <c r="E40" s="66" t="s">
        <v>78</v>
      </c>
      <c r="H40" s="67">
        <f>B14/2.8</f>
        <v>116.25959964285715</v>
      </c>
      <c r="I40" s="66">
        <f>433.66*(G35)/(G35+G36)</f>
        <v>325.52687900000001</v>
      </c>
    </row>
    <row r="41" spans="1:10" x14ac:dyDescent="0.2">
      <c r="D41" s="66"/>
      <c r="E41" s="66">
        <f>10500-B37</f>
        <v>8036.5331210000004</v>
      </c>
      <c r="F41" s="66"/>
      <c r="I41" s="66"/>
    </row>
    <row r="42" spans="1:10" x14ac:dyDescent="0.2">
      <c r="B42" s="67">
        <f>B37*3</f>
        <v>7390.4006370000006</v>
      </c>
      <c r="D42" s="66"/>
      <c r="E42" s="66">
        <f>E41/B39</f>
        <v>2819.8361828070174</v>
      </c>
      <c r="F42" s="66"/>
      <c r="I42" s="76">
        <f>2200/B39</f>
        <v>771.92982456140351</v>
      </c>
    </row>
    <row r="43" spans="1:10" x14ac:dyDescent="0.2">
      <c r="C43" s="67">
        <f>B42-D43</f>
        <v>7390.4006370000006</v>
      </c>
      <c r="D43" s="67">
        <f>SUM(D39:D42)</f>
        <v>0</v>
      </c>
      <c r="E43" s="66"/>
    </row>
    <row r="44" spans="1:10" x14ac:dyDescent="0.2">
      <c r="D44" s="67">
        <f>D43/B37</f>
        <v>0</v>
      </c>
      <c r="E44" s="66"/>
      <c r="F44" s="66"/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A7" sqref="A7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469</v>
      </c>
      <c r="C1" s="70">
        <f>B1</f>
        <v>469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G2" s="67">
        <f>B3+B11+B12+B13+B15</f>
        <v>683.52687900000001</v>
      </c>
      <c r="H2" s="67">
        <f>B3+B11+B13+70</f>
        <v>600.52687900000001</v>
      </c>
      <c r="I2" s="69"/>
    </row>
    <row r="3" spans="1:13" x14ac:dyDescent="0.2">
      <c r="A3" s="70" t="s">
        <v>26</v>
      </c>
      <c r="B3" s="70">
        <v>325.52687900000001</v>
      </c>
      <c r="C3" s="70">
        <f>B3</f>
        <v>325.52687900000001</v>
      </c>
      <c r="E3" s="67">
        <f>244/3</f>
        <v>81.333333333333329</v>
      </c>
    </row>
    <row r="4" spans="1:13" x14ac:dyDescent="0.2">
      <c r="A4" s="77" t="s">
        <v>166</v>
      </c>
      <c r="B4" s="70">
        <v>257.44</v>
      </c>
      <c r="C4" s="70">
        <f>B4</f>
        <v>257.44</v>
      </c>
      <c r="E4" s="66"/>
      <c r="G4" s="67">
        <v>3736</v>
      </c>
    </row>
    <row r="5" spans="1:13" x14ac:dyDescent="0.2">
      <c r="A5" s="70" t="s">
        <v>7</v>
      </c>
      <c r="B5" s="70">
        <v>206.5</v>
      </c>
      <c r="C5" s="70">
        <f>B5</f>
        <v>206.5</v>
      </c>
      <c r="E5" s="66">
        <v>80</v>
      </c>
      <c r="F5" s="66"/>
      <c r="G5" s="66">
        <v>-911</v>
      </c>
      <c r="M5" s="67">
        <f>312-150+40</f>
        <v>202</v>
      </c>
    </row>
    <row r="6" spans="1:13" x14ac:dyDescent="0.2">
      <c r="A6" s="77" t="s">
        <v>374</v>
      </c>
      <c r="B6" s="70">
        <v>200</v>
      </c>
      <c r="C6" s="70">
        <v>200</v>
      </c>
      <c r="D6" s="113"/>
      <c r="E6" s="66"/>
      <c r="F6" s="66"/>
      <c r="G6" s="67">
        <f>G4+G5</f>
        <v>2825</v>
      </c>
      <c r="H6" s="66"/>
    </row>
    <row r="7" spans="1:13" x14ac:dyDescent="0.2">
      <c r="A7" s="70" t="s">
        <v>13</v>
      </c>
      <c r="B7" s="70">
        <v>170.89</v>
      </c>
      <c r="C7" s="70">
        <f t="shared" ref="C7:C19" si="0">B7</f>
        <v>170.89</v>
      </c>
      <c r="H7" s="66"/>
      <c r="I7" s="66"/>
    </row>
    <row r="8" spans="1:13" x14ac:dyDescent="0.2">
      <c r="A8" s="70" t="s">
        <v>210</v>
      </c>
      <c r="B8" s="70">
        <v>160</v>
      </c>
      <c r="C8" s="70">
        <f t="shared" si="0"/>
        <v>160</v>
      </c>
      <c r="D8" s="114"/>
      <c r="F8" s="66"/>
      <c r="K8" s="67">
        <v>62.9</v>
      </c>
    </row>
    <row r="9" spans="1:13" x14ac:dyDescent="0.2">
      <c r="A9" s="70" t="s">
        <v>84</v>
      </c>
      <c r="B9" s="70">
        <v>160</v>
      </c>
      <c r="C9" s="70">
        <f t="shared" si="0"/>
        <v>160</v>
      </c>
      <c r="D9" s="114"/>
      <c r="E9" s="68"/>
      <c r="K9" s="67">
        <v>50</v>
      </c>
    </row>
    <row r="10" spans="1:13" x14ac:dyDescent="0.2">
      <c r="A10" s="70" t="s">
        <v>201</v>
      </c>
      <c r="B10" s="70">
        <v>129</v>
      </c>
      <c r="C10" s="70">
        <f t="shared" si="0"/>
        <v>129</v>
      </c>
      <c r="E10" s="68">
        <f>7*2.99</f>
        <v>20.93</v>
      </c>
      <c r="H10" s="68"/>
      <c r="K10" s="67">
        <v>93</v>
      </c>
    </row>
    <row r="11" spans="1:13" x14ac:dyDescent="0.2">
      <c r="A11" s="70" t="s">
        <v>419</v>
      </c>
      <c r="B11" s="70">
        <v>120</v>
      </c>
      <c r="C11" s="70">
        <f t="shared" si="0"/>
        <v>120</v>
      </c>
      <c r="K11" s="67">
        <f>K8+K9+K10</f>
        <v>205.9</v>
      </c>
    </row>
    <row r="12" spans="1:13" x14ac:dyDescent="0.2">
      <c r="A12" s="70" t="s">
        <v>211</v>
      </c>
      <c r="B12" s="70">
        <v>85</v>
      </c>
      <c r="C12" s="70">
        <f t="shared" si="0"/>
        <v>85</v>
      </c>
      <c r="F12" s="67">
        <v>4847</v>
      </c>
      <c r="H12" s="68"/>
    </row>
    <row r="13" spans="1:13" x14ac:dyDescent="0.2">
      <c r="A13" s="77" t="s">
        <v>286</v>
      </c>
      <c r="B13" s="70">
        <v>85</v>
      </c>
      <c r="C13" s="70">
        <f t="shared" si="0"/>
        <v>85</v>
      </c>
      <c r="F13" s="67">
        <v>-2133</v>
      </c>
    </row>
    <row r="14" spans="1:13" x14ac:dyDescent="0.2">
      <c r="A14" s="77" t="s">
        <v>392</v>
      </c>
      <c r="B14" s="70">
        <f>13*6</f>
        <v>78</v>
      </c>
      <c r="C14" s="70">
        <f t="shared" si="0"/>
        <v>78</v>
      </c>
      <c r="F14" s="67">
        <f>SUM(F12:F13)</f>
        <v>2714</v>
      </c>
    </row>
    <row r="15" spans="1:13" x14ac:dyDescent="0.2">
      <c r="A15" s="70" t="s">
        <v>186</v>
      </c>
      <c r="B15" s="70">
        <v>68</v>
      </c>
      <c r="C15" s="70">
        <f t="shared" si="0"/>
        <v>68</v>
      </c>
    </row>
    <row r="16" spans="1:13" x14ac:dyDescent="0.2">
      <c r="A16" s="70" t="s">
        <v>94</v>
      </c>
      <c r="B16" s="70">
        <v>50.99</v>
      </c>
      <c r="C16" s="70">
        <f t="shared" si="0"/>
        <v>50.99</v>
      </c>
      <c r="E16" s="68"/>
    </row>
    <row r="17" spans="1:14" x14ac:dyDescent="0.2">
      <c r="A17" s="77" t="s">
        <v>167</v>
      </c>
      <c r="B17" s="70">
        <v>50</v>
      </c>
      <c r="C17" s="70">
        <f t="shared" si="0"/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 t="shared" si="0"/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f t="shared" si="0"/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0</v>
      </c>
      <c r="C20" s="70">
        <v>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0</v>
      </c>
      <c r="C21" s="70">
        <v>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v>0</v>
      </c>
      <c r="C23" s="70">
        <v>0</v>
      </c>
      <c r="E23" s="66"/>
      <c r="F23" s="66"/>
    </row>
    <row r="24" spans="1:14" x14ac:dyDescent="0.2">
      <c r="A24" s="70" t="s">
        <v>87</v>
      </c>
      <c r="B24" s="70">
        <v>0</v>
      </c>
      <c r="C24" s="70">
        <v>0</v>
      </c>
      <c r="E24" s="76"/>
      <c r="F24" s="76"/>
    </row>
    <row r="25" spans="1:14" x14ac:dyDescent="0.2">
      <c r="A25" s="70" t="s">
        <v>89</v>
      </c>
      <c r="B25" s="70">
        <v>0</v>
      </c>
      <c r="C25" s="70">
        <v>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A28" s="72" t="s">
        <v>45</v>
      </c>
      <c r="B28" s="71"/>
      <c r="C28" s="71" t="s">
        <v>2</v>
      </c>
      <c r="E28" s="68"/>
      <c r="F28" s="68"/>
      <c r="G28" s="68"/>
      <c r="H28" s="68"/>
      <c r="I28" s="68"/>
      <c r="J28" s="68"/>
    </row>
    <row r="29" spans="1:14" x14ac:dyDescent="0.2">
      <c r="A29" s="73" t="s">
        <v>61</v>
      </c>
      <c r="B29" s="70"/>
      <c r="C29" s="70">
        <v>0</v>
      </c>
      <c r="E29" s="68"/>
      <c r="F29" s="68"/>
      <c r="G29" s="68"/>
      <c r="H29" s="68"/>
      <c r="I29" s="68"/>
      <c r="J29" s="68"/>
    </row>
    <row r="30" spans="1:14" x14ac:dyDescent="0.2">
      <c r="E30" s="105"/>
      <c r="F30" s="68"/>
      <c r="G30" s="68"/>
      <c r="H30" s="68"/>
      <c r="I30" s="68"/>
      <c r="J30" s="68"/>
    </row>
    <row r="31" spans="1:14" x14ac:dyDescent="0.2">
      <c r="A31" s="75"/>
      <c r="B31" s="68"/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C32" s="68">
        <v>0</v>
      </c>
      <c r="E32" s="105"/>
      <c r="F32" s="68"/>
      <c r="G32" s="68"/>
      <c r="H32" s="68"/>
      <c r="I32" s="68"/>
      <c r="J32" s="68"/>
    </row>
    <row r="33" spans="1:10" ht="12" thickBot="1" x14ac:dyDescent="0.25">
      <c r="A33" s="67" t="s">
        <v>31</v>
      </c>
      <c r="B33" s="67">
        <f>SUM(C1:C31)</f>
        <v>3047.3468789999997</v>
      </c>
      <c r="C33" s="68">
        <v>0</v>
      </c>
      <c r="E33" s="105"/>
      <c r="F33" s="68"/>
      <c r="G33" s="68"/>
      <c r="H33" s="68"/>
      <c r="I33" s="68"/>
      <c r="J33" s="68"/>
    </row>
    <row r="34" spans="1:10" x14ac:dyDescent="0.2">
      <c r="A34" s="79" t="s">
        <v>24</v>
      </c>
      <c r="B34" s="80">
        <f>B36-B33</f>
        <v>0</v>
      </c>
      <c r="C34" s="100"/>
      <c r="E34" s="68"/>
      <c r="F34" s="68"/>
      <c r="G34" s="68"/>
      <c r="H34" s="68"/>
      <c r="I34" s="68"/>
      <c r="J34" s="74"/>
    </row>
    <row r="35" spans="1:10" x14ac:dyDescent="0.2">
      <c r="A35" s="82"/>
      <c r="B35" s="83"/>
      <c r="C35" s="84"/>
      <c r="E35" s="68"/>
      <c r="F35" s="68"/>
      <c r="G35" s="68"/>
      <c r="H35" s="68"/>
      <c r="I35" s="68"/>
      <c r="J35" s="68"/>
    </row>
    <row r="36" spans="1:10" x14ac:dyDescent="0.2">
      <c r="A36" s="82" t="s">
        <v>20</v>
      </c>
      <c r="B36" s="85">
        <f>SUM(B1:B19)+SUM(B20:B31)</f>
        <v>3047.3468789999997</v>
      </c>
      <c r="C36" s="86"/>
      <c r="E36" s="68"/>
      <c r="F36" s="68"/>
      <c r="G36" s="68"/>
      <c r="H36" s="68"/>
      <c r="I36" s="68"/>
      <c r="J36" s="68"/>
    </row>
    <row r="37" spans="1:10" x14ac:dyDescent="0.2">
      <c r="A37" s="82"/>
      <c r="B37" s="83">
        <f>B36</f>
        <v>3047.3468789999997</v>
      </c>
      <c r="C37" s="84"/>
      <c r="D37" s="76"/>
      <c r="I37" s="66"/>
    </row>
    <row r="38" spans="1:10" x14ac:dyDescent="0.2">
      <c r="A38" s="87"/>
      <c r="B38" s="83">
        <f>2.85</f>
        <v>2.85</v>
      </c>
      <c r="C38" s="84"/>
      <c r="D38" s="66"/>
      <c r="E38" s="69"/>
      <c r="I38" s="66"/>
    </row>
    <row r="39" spans="1:10" ht="12" thickBot="1" x14ac:dyDescent="0.25">
      <c r="A39" s="88"/>
      <c r="B39" s="89"/>
      <c r="C39" s="90"/>
      <c r="D39" s="66"/>
      <c r="E39" s="66"/>
      <c r="I39" s="66"/>
    </row>
    <row r="40" spans="1:10" x14ac:dyDescent="0.2">
      <c r="D40" s="66"/>
      <c r="E40" s="66"/>
      <c r="F40" s="66"/>
      <c r="I40" s="66"/>
    </row>
    <row r="41" spans="1:10" x14ac:dyDescent="0.2">
      <c r="B41" s="67">
        <f>B36*3</f>
        <v>9142.0406369999982</v>
      </c>
      <c r="D41" s="66"/>
      <c r="E41" s="66"/>
      <c r="F41" s="66"/>
      <c r="I41" s="76"/>
    </row>
    <row r="42" spans="1:10" x14ac:dyDescent="0.2">
      <c r="C42" s="67">
        <f>B41-D42</f>
        <v>9142.0406369999982</v>
      </c>
      <c r="E42" s="66"/>
    </row>
    <row r="43" spans="1:10" x14ac:dyDescent="0.2">
      <c r="E43" s="66"/>
      <c r="F43" s="66"/>
    </row>
    <row r="49" spans="1:2" x14ac:dyDescent="0.2">
      <c r="A49" s="66"/>
    </row>
    <row r="50" spans="1:2" x14ac:dyDescent="0.2">
      <c r="B50" s="76"/>
    </row>
  </sheetData>
  <sortState ref="A1:C29">
    <sortCondition descending="1" ref="B1:B29"/>
  </sortState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8"/>
  <sheetViews>
    <sheetView workbookViewId="0">
      <selection activeCell="E3" sqref="E3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0</v>
      </c>
      <c r="C1" s="70">
        <v>0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E2" s="66" t="s">
        <v>424</v>
      </c>
      <c r="I2" s="69"/>
    </row>
    <row r="3" spans="1:13" ht="15" x14ac:dyDescent="0.25">
      <c r="A3" s="70" t="s">
        <v>26</v>
      </c>
      <c r="B3" s="70">
        <v>325.52687900000001</v>
      </c>
      <c r="C3" s="70">
        <f>B3</f>
        <v>325.52687900000001</v>
      </c>
      <c r="E3" s="4">
        <f>B3+B11+B13</f>
        <v>530.52687900000001</v>
      </c>
      <c r="F3" s="4"/>
      <c r="G3" s="4"/>
    </row>
    <row r="4" spans="1:13" ht="15" x14ac:dyDescent="0.25">
      <c r="A4" s="77" t="s">
        <v>166</v>
      </c>
      <c r="B4" s="70">
        <v>257.44</v>
      </c>
      <c r="C4" s="70">
        <f>B4</f>
        <v>257.44</v>
      </c>
      <c r="E4" s="4"/>
      <c r="F4" s="4"/>
      <c r="G4" s="4"/>
    </row>
    <row r="5" spans="1:13" ht="15" x14ac:dyDescent="0.25">
      <c r="A5" s="70" t="s">
        <v>7</v>
      </c>
      <c r="B5" s="70">
        <v>85</v>
      </c>
      <c r="C5" s="70">
        <f>B5</f>
        <v>85</v>
      </c>
      <c r="E5" s="4"/>
      <c r="F5" s="4"/>
      <c r="G5" s="4"/>
      <c r="M5" s="67">
        <f>312-150+40</f>
        <v>202</v>
      </c>
    </row>
    <row r="6" spans="1:13" ht="15" x14ac:dyDescent="0.25">
      <c r="A6" s="77" t="s">
        <v>374</v>
      </c>
      <c r="B6" s="70">
        <v>0</v>
      </c>
      <c r="C6" s="70">
        <v>0</v>
      </c>
      <c r="D6" s="113"/>
      <c r="E6" s="4"/>
      <c r="F6" s="4"/>
      <c r="G6" s="4"/>
      <c r="H6" s="66"/>
    </row>
    <row r="7" spans="1:13" ht="15" x14ac:dyDescent="0.25">
      <c r="A7" s="70" t="s">
        <v>13</v>
      </c>
      <c r="B7" s="70">
        <v>170.89</v>
      </c>
      <c r="C7" s="70">
        <f>B7</f>
        <v>170.89</v>
      </c>
      <c r="E7" s="4"/>
      <c r="F7" s="4"/>
      <c r="G7" s="4"/>
      <c r="H7" s="66"/>
      <c r="I7" s="66"/>
    </row>
    <row r="8" spans="1:13" ht="15" x14ac:dyDescent="0.25">
      <c r="A8" s="70" t="s">
        <v>210</v>
      </c>
      <c r="B8" s="70">
        <v>80</v>
      </c>
      <c r="C8" s="70">
        <f>B8</f>
        <v>80</v>
      </c>
      <c r="D8" s="114"/>
      <c r="E8" s="4"/>
      <c r="F8" s="4"/>
      <c r="G8" s="4"/>
      <c r="K8" s="67">
        <v>62.9</v>
      </c>
    </row>
    <row r="9" spans="1:13" x14ac:dyDescent="0.2">
      <c r="A9" s="70" t="s">
        <v>84</v>
      </c>
      <c r="B9" s="70">
        <v>160</v>
      </c>
      <c r="C9" s="70">
        <f>B9</f>
        <v>160</v>
      </c>
      <c r="D9" s="114"/>
      <c r="E9" s="68"/>
      <c r="K9" s="67">
        <v>50</v>
      </c>
    </row>
    <row r="10" spans="1:13" ht="15" x14ac:dyDescent="0.25">
      <c r="A10" s="70" t="s">
        <v>201</v>
      </c>
      <c r="B10" s="70">
        <v>129</v>
      </c>
      <c r="C10" s="70">
        <f>B10</f>
        <v>129</v>
      </c>
      <c r="E10" s="4"/>
      <c r="F10" s="4"/>
      <c r="H10" s="68"/>
      <c r="K10" s="67">
        <v>93</v>
      </c>
    </row>
    <row r="11" spans="1:13" ht="15" x14ac:dyDescent="0.25">
      <c r="A11" s="70" t="s">
        <v>419</v>
      </c>
      <c r="B11" s="70">
        <v>120</v>
      </c>
      <c r="C11" s="70">
        <f>B11</f>
        <v>120</v>
      </c>
      <c r="E11" s="4"/>
      <c r="F11" s="4"/>
      <c r="K11" s="67">
        <f>K8+K9+K10</f>
        <v>205.9</v>
      </c>
    </row>
    <row r="12" spans="1:13" x14ac:dyDescent="0.2">
      <c r="A12" s="68" t="s">
        <v>211</v>
      </c>
      <c r="B12" s="68">
        <v>85</v>
      </c>
      <c r="C12" s="68">
        <v>0</v>
      </c>
      <c r="H12" s="68"/>
    </row>
    <row r="13" spans="1:13" x14ac:dyDescent="0.2">
      <c r="A13" s="77" t="s">
        <v>286</v>
      </c>
      <c r="B13" s="70">
        <v>85</v>
      </c>
      <c r="C13" s="70">
        <f>B13</f>
        <v>85</v>
      </c>
    </row>
    <row r="14" spans="1:13" x14ac:dyDescent="0.2">
      <c r="A14" s="77" t="s">
        <v>392</v>
      </c>
      <c r="B14" s="70">
        <v>0</v>
      </c>
      <c r="C14" s="70">
        <v>0</v>
      </c>
    </row>
    <row r="15" spans="1:13" x14ac:dyDescent="0.2">
      <c r="A15" s="70" t="s">
        <v>186</v>
      </c>
      <c r="B15" s="70">
        <v>68</v>
      </c>
      <c r="C15" s="70">
        <f>B15</f>
        <v>68</v>
      </c>
    </row>
    <row r="16" spans="1:13" x14ac:dyDescent="0.2">
      <c r="A16" s="70" t="s">
        <v>420</v>
      </c>
      <c r="B16" s="70">
        <v>50.99</v>
      </c>
      <c r="C16" s="70">
        <f>B16</f>
        <v>50.99</v>
      </c>
      <c r="E16" s="68"/>
    </row>
    <row r="17" spans="1:14" x14ac:dyDescent="0.2">
      <c r="A17" s="77" t="s">
        <v>167</v>
      </c>
      <c r="B17" s="70">
        <v>50</v>
      </c>
      <c r="C17" s="70">
        <f>B17</f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>B18</f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150</v>
      </c>
      <c r="C20" s="70">
        <f>B20</f>
        <v>150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150</v>
      </c>
      <c r="C21" s="70">
        <f>B21</f>
        <v>150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f>10*20</f>
        <v>200</v>
      </c>
      <c r="C23" s="70">
        <f>10*20</f>
        <v>200</v>
      </c>
      <c r="E23" s="66"/>
      <c r="F23" s="66"/>
    </row>
    <row r="24" spans="1:14" x14ac:dyDescent="0.2">
      <c r="A24" s="70" t="s">
        <v>87</v>
      </c>
      <c r="B24" s="70">
        <f>(0.5+2.5+2.5+0.5)*20</f>
        <v>120</v>
      </c>
      <c r="C24" s="70">
        <f>(0.5+2.5+2.5+0.5)*20</f>
        <v>120</v>
      </c>
      <c r="E24" s="76"/>
      <c r="F24" s="76"/>
    </row>
    <row r="25" spans="1:14" x14ac:dyDescent="0.2">
      <c r="A25" s="70" t="s">
        <v>89</v>
      </c>
      <c r="B25" s="70">
        <f>5*20</f>
        <v>100</v>
      </c>
      <c r="C25" s="70">
        <f>5*20</f>
        <v>100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E28" s="105"/>
      <c r="F28" s="68"/>
      <c r="G28" s="68"/>
      <c r="H28" s="68"/>
      <c r="I28" s="68"/>
      <c r="J28" s="68"/>
    </row>
    <row r="29" spans="1:14" x14ac:dyDescent="0.2">
      <c r="A29" s="75"/>
      <c r="B29" s="68"/>
      <c r="C29" s="68">
        <v>0</v>
      </c>
      <c r="E29" s="105"/>
      <c r="F29" s="68"/>
      <c r="G29" s="68"/>
      <c r="H29" s="68"/>
      <c r="I29" s="68"/>
      <c r="J29" s="68"/>
    </row>
    <row r="30" spans="1:14" x14ac:dyDescent="0.2">
      <c r="C30" s="68">
        <v>0</v>
      </c>
      <c r="E30" s="105"/>
      <c r="F30" s="68"/>
      <c r="G30" s="68"/>
      <c r="H30" s="68"/>
      <c r="I30" s="68"/>
      <c r="J30" s="68"/>
    </row>
    <row r="31" spans="1:14" ht="12" thickBot="1" x14ac:dyDescent="0.25">
      <c r="A31" s="67" t="s">
        <v>31</v>
      </c>
      <c r="B31" s="67">
        <f>SUM(C1:C29)</f>
        <v>2733.8468789999997</v>
      </c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A32" s="79" t="s">
        <v>24</v>
      </c>
      <c r="B32" s="80">
        <f>B34-B31</f>
        <v>85</v>
      </c>
      <c r="C32" s="100"/>
      <c r="E32" s="68"/>
      <c r="F32" s="68"/>
      <c r="G32" s="68"/>
      <c r="H32" s="68"/>
      <c r="I32" s="68"/>
      <c r="J32" s="74"/>
    </row>
    <row r="33" spans="1:10" x14ac:dyDescent="0.2">
      <c r="A33" s="82"/>
      <c r="B33" s="83"/>
      <c r="C33" s="84"/>
      <c r="E33" s="68"/>
      <c r="F33" s="68"/>
      <c r="G33" s="68"/>
      <c r="H33" s="68"/>
      <c r="I33" s="68"/>
      <c r="J33" s="68"/>
    </row>
    <row r="34" spans="1:10" x14ac:dyDescent="0.2">
      <c r="A34" s="82" t="s">
        <v>20</v>
      </c>
      <c r="B34" s="85">
        <f>SUM(B1:B19)+SUM(B20:B29)</f>
        <v>2818.8468789999997</v>
      </c>
      <c r="C34" s="86"/>
      <c r="E34" s="68"/>
      <c r="F34" s="68"/>
      <c r="G34" s="68"/>
      <c r="H34" s="68"/>
      <c r="I34" s="68"/>
      <c r="J34" s="68"/>
    </row>
    <row r="35" spans="1:10" x14ac:dyDescent="0.2">
      <c r="A35" s="82"/>
      <c r="B35" s="83">
        <f>B34</f>
        <v>2818.8468789999997</v>
      </c>
      <c r="C35" s="84"/>
      <c r="D35" s="76"/>
      <c r="I35" s="66"/>
    </row>
    <row r="36" spans="1:10" x14ac:dyDescent="0.2">
      <c r="A36" s="87"/>
      <c r="B36" s="83">
        <f>2.85</f>
        <v>2.85</v>
      </c>
      <c r="C36" s="84"/>
      <c r="D36" s="66"/>
      <c r="E36" s="69"/>
      <c r="I36" s="66"/>
    </row>
    <row r="37" spans="1:10" ht="12" thickBot="1" x14ac:dyDescent="0.25">
      <c r="A37" s="88"/>
      <c r="B37" s="89"/>
      <c r="C37" s="90"/>
      <c r="D37" s="66"/>
      <c r="E37" s="66"/>
      <c r="I37" s="66"/>
    </row>
    <row r="38" spans="1:10" x14ac:dyDescent="0.2">
      <c r="D38" s="66"/>
      <c r="E38" s="66"/>
      <c r="F38" s="66"/>
      <c r="I38" s="66"/>
    </row>
    <row r="39" spans="1:10" x14ac:dyDescent="0.2">
      <c r="B39" s="67">
        <f>B34*3</f>
        <v>8456.5406369999982</v>
      </c>
      <c r="D39" s="66"/>
      <c r="E39" s="66"/>
      <c r="F39" s="66"/>
      <c r="I39" s="76"/>
    </row>
    <row r="40" spans="1:10" x14ac:dyDescent="0.2">
      <c r="C40" s="67">
        <f>B39-D40</f>
        <v>8456.5406369999982</v>
      </c>
      <c r="E40" s="66"/>
    </row>
    <row r="41" spans="1:10" x14ac:dyDescent="0.2">
      <c r="E41" s="66"/>
      <c r="F41" s="66"/>
    </row>
    <row r="47" spans="1:10" x14ac:dyDescent="0.2">
      <c r="A47" s="66"/>
    </row>
    <row r="48" spans="1:10" x14ac:dyDescent="0.2">
      <c r="B48" s="76"/>
    </row>
  </sheetData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I7" sqref="I7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I2" s="69"/>
    </row>
    <row r="3" spans="1:13" x14ac:dyDescent="0.2">
      <c r="A3" s="70" t="s">
        <v>7</v>
      </c>
      <c r="B3" s="70">
        <v>89</v>
      </c>
      <c r="C3" s="70">
        <f t="shared" si="0"/>
        <v>89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97"/>
      <c r="E4" s="98" t="s">
        <v>424</v>
      </c>
      <c r="F4" s="98" t="s">
        <v>425</v>
      </c>
      <c r="G4" s="97"/>
      <c r="H4" s="97" t="s">
        <v>426</v>
      </c>
      <c r="I4" s="133" t="s">
        <v>427</v>
      </c>
    </row>
    <row r="5" spans="1:13" x14ac:dyDescent="0.2">
      <c r="A5" s="70" t="s">
        <v>196</v>
      </c>
      <c r="B5" s="70">
        <v>219</v>
      </c>
      <c r="C5" s="70">
        <f t="shared" si="0"/>
        <v>219</v>
      </c>
      <c r="D5" s="97"/>
      <c r="E5" s="97">
        <f>'2015-ABRIL'!E3</f>
        <v>530.52687900000001</v>
      </c>
      <c r="F5" s="98">
        <f>B7+B14+B28+B15</f>
        <v>550.52687900000001</v>
      </c>
      <c r="G5" s="97"/>
      <c r="H5" s="97"/>
      <c r="I5" s="133"/>
      <c r="M5" s="67">
        <f>312-150+40</f>
        <v>202</v>
      </c>
    </row>
    <row r="6" spans="1:13" x14ac:dyDescent="0.2">
      <c r="A6" s="70" t="s">
        <v>216</v>
      </c>
      <c r="B6" s="70">
        <v>336</v>
      </c>
      <c r="C6" s="70">
        <f t="shared" si="0"/>
        <v>336</v>
      </c>
      <c r="D6" s="132"/>
      <c r="E6" s="98"/>
      <c r="F6" s="98">
        <v>300</v>
      </c>
      <c r="G6" s="97"/>
      <c r="H6" s="98"/>
      <c r="I6" s="133"/>
    </row>
    <row r="7" spans="1:13" x14ac:dyDescent="0.2">
      <c r="A7" s="70" t="s">
        <v>210</v>
      </c>
      <c r="B7" s="70">
        <f>10*4</f>
        <v>40</v>
      </c>
      <c r="C7" s="70">
        <f t="shared" si="0"/>
        <v>40</v>
      </c>
      <c r="D7" s="97" t="s">
        <v>233</v>
      </c>
      <c r="E7" s="97">
        <f>SUM(E5:E6)</f>
        <v>530.52687900000001</v>
      </c>
      <c r="F7" s="97">
        <f>SUM(F5:F6)</f>
        <v>850.52687900000001</v>
      </c>
      <c r="G7" s="97">
        <f>SUM(E7:F7)</f>
        <v>1381.053758</v>
      </c>
      <c r="H7" s="97">
        <v>900</v>
      </c>
      <c r="I7" s="134">
        <f>G7-H7</f>
        <v>481.05375800000002</v>
      </c>
    </row>
    <row r="8" spans="1:13" x14ac:dyDescent="0.2">
      <c r="A8" s="70" t="s">
        <v>171</v>
      </c>
      <c r="B8" s="70">
        <v>15</v>
      </c>
      <c r="C8" s="70">
        <v>15</v>
      </c>
      <c r="E8" s="66"/>
      <c r="H8" s="66"/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F9" s="66"/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14"/>
      <c r="E10" s="68"/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/>
      <c r="H11" s="68"/>
      <c r="K11" s="67">
        <v>93</v>
      </c>
    </row>
    <row r="12" spans="1:13" x14ac:dyDescent="0.2">
      <c r="A12" s="70" t="s">
        <v>423</v>
      </c>
      <c r="B12" s="70">
        <v>58</v>
      </c>
      <c r="C12" s="70">
        <f>B12</f>
        <v>58</v>
      </c>
      <c r="E12" s="67">
        <v>65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>
        <v>30</v>
      </c>
      <c r="H13" s="68"/>
    </row>
    <row r="14" spans="1:13" x14ac:dyDescent="0.2">
      <c r="A14" s="70" t="s">
        <v>26</v>
      </c>
      <c r="B14" s="70">
        <f>I41</f>
        <v>325.52687900000001</v>
      </c>
      <c r="C14" s="70">
        <f>B14</f>
        <v>325.52687900000001</v>
      </c>
      <c r="E14" s="67">
        <v>30</v>
      </c>
    </row>
    <row r="15" spans="1:13" x14ac:dyDescent="0.2">
      <c r="A15" s="70" t="s">
        <v>419</v>
      </c>
      <c r="B15" s="70">
        <v>100</v>
      </c>
      <c r="C15" s="70">
        <f>B15</f>
        <v>100</v>
      </c>
      <c r="E15" s="67">
        <v>20</v>
      </c>
    </row>
    <row r="16" spans="1:13" x14ac:dyDescent="0.2">
      <c r="A16" s="70" t="s">
        <v>32</v>
      </c>
      <c r="B16" s="70">
        <v>0</v>
      </c>
      <c r="C16" s="70">
        <v>0</v>
      </c>
      <c r="E16" s="66">
        <f>SUM(E12:E15)</f>
        <v>145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</row>
    <row r="18" spans="1:14" x14ac:dyDescent="0.2">
      <c r="A18" s="70" t="s">
        <v>291</v>
      </c>
      <c r="B18" s="70">
        <f>22+10</f>
        <v>32</v>
      </c>
      <c r="C18" s="70">
        <f>B18</f>
        <v>32</v>
      </c>
      <c r="E18" s="68"/>
    </row>
    <row r="19" spans="1:14" x14ac:dyDescent="0.2">
      <c r="A19" s="70" t="s">
        <v>79</v>
      </c>
      <c r="B19" s="70">
        <f>8.5*20</f>
        <v>170</v>
      </c>
      <c r="C19" s="70">
        <f t="shared" ref="C19:C21" si="1">B19</f>
        <v>170</v>
      </c>
      <c r="D19" s="68"/>
      <c r="E19" s="68"/>
      <c r="F19" s="68"/>
      <c r="G19" s="68"/>
      <c r="L19" s="67" t="s">
        <v>371</v>
      </c>
      <c r="M19" s="67">
        <v>20</v>
      </c>
      <c r="N19" s="66"/>
    </row>
    <row r="20" spans="1:14" x14ac:dyDescent="0.2">
      <c r="A20" s="70" t="s">
        <v>87</v>
      </c>
      <c r="B20" s="70">
        <f>(0.7+2.5)*20   +  (2.5+1.7)*20</f>
        <v>148</v>
      </c>
      <c r="C20" s="70">
        <f t="shared" si="1"/>
        <v>148</v>
      </c>
      <c r="D20" s="68"/>
      <c r="E20" s="68"/>
      <c r="F20" s="68"/>
      <c r="G20" s="68"/>
      <c r="I20" s="67">
        <v>646</v>
      </c>
      <c r="L20" s="67" t="s">
        <v>372</v>
      </c>
      <c r="M20" s="67">
        <v>15</v>
      </c>
      <c r="N20" s="66"/>
    </row>
    <row r="21" spans="1:14" x14ac:dyDescent="0.2">
      <c r="A21" s="70" t="s">
        <v>89</v>
      </c>
      <c r="B21" s="70">
        <f>5*20</f>
        <v>100</v>
      </c>
      <c r="C21" s="70">
        <f t="shared" si="1"/>
        <v>100</v>
      </c>
      <c r="D21" s="68"/>
      <c r="E21" s="68"/>
      <c r="F21" s="68"/>
      <c r="G21" s="68"/>
      <c r="H21" s="68"/>
      <c r="I21" s="67">
        <v>130</v>
      </c>
      <c r="L21" s="68" t="s">
        <v>376</v>
      </c>
      <c r="M21" s="67">
        <v>166.66666666666666</v>
      </c>
      <c r="N21" s="66"/>
    </row>
    <row r="22" spans="1:14" x14ac:dyDescent="0.2">
      <c r="A22" s="73" t="s">
        <v>61</v>
      </c>
      <c r="B22" s="70"/>
      <c r="C22" s="70">
        <v>0</v>
      </c>
      <c r="I22" s="67">
        <f>SUM(I20:I21)</f>
        <v>776</v>
      </c>
      <c r="L22" s="67" t="s">
        <v>380</v>
      </c>
      <c r="M22" s="67">
        <v>17</v>
      </c>
    </row>
    <row r="23" spans="1:14" x14ac:dyDescent="0.2">
      <c r="A23" s="73" t="s">
        <v>221</v>
      </c>
      <c r="B23" s="70">
        <v>0</v>
      </c>
      <c r="C23" s="70">
        <v>0</v>
      </c>
      <c r="H23" s="68"/>
      <c r="I23" s="68"/>
    </row>
    <row r="24" spans="1:14" x14ac:dyDescent="0.2">
      <c r="A24" s="77" t="s">
        <v>112</v>
      </c>
      <c r="B24" s="70">
        <v>0</v>
      </c>
      <c r="C24" s="70">
        <v>0</v>
      </c>
      <c r="F24" s="66"/>
      <c r="H24" s="68"/>
      <c r="I24" s="68"/>
    </row>
    <row r="25" spans="1:14" x14ac:dyDescent="0.2">
      <c r="A25" s="77" t="s">
        <v>218</v>
      </c>
      <c r="B25" s="70">
        <v>0</v>
      </c>
      <c r="C25" s="70">
        <v>0</v>
      </c>
      <c r="E25" s="66"/>
      <c r="F25" s="66"/>
    </row>
    <row r="26" spans="1:14" x14ac:dyDescent="0.2">
      <c r="A26" s="77" t="s">
        <v>166</v>
      </c>
      <c r="B26" s="70">
        <v>285.25</v>
      </c>
      <c r="C26" s="70">
        <f>B26</f>
        <v>285.25</v>
      </c>
      <c r="E26" s="76"/>
      <c r="F26" s="76"/>
    </row>
    <row r="27" spans="1:14" x14ac:dyDescent="0.2">
      <c r="A27" s="77" t="s">
        <v>167</v>
      </c>
      <c r="B27" s="70">
        <v>50</v>
      </c>
      <c r="C27" s="70">
        <f>B27</f>
        <v>50</v>
      </c>
      <c r="I27" s="66"/>
    </row>
    <row r="28" spans="1:14" x14ac:dyDescent="0.2">
      <c r="A28" s="77" t="s">
        <v>286</v>
      </c>
      <c r="B28" s="70">
        <v>85</v>
      </c>
      <c r="C28" s="70">
        <f>B28</f>
        <v>85</v>
      </c>
      <c r="E28" s="76">
        <v>413</v>
      </c>
      <c r="F28" s="76"/>
    </row>
    <row r="29" spans="1:14" x14ac:dyDescent="0.2">
      <c r="A29" s="77" t="s">
        <v>374</v>
      </c>
      <c r="B29" s="70">
        <v>0</v>
      </c>
      <c r="C29" s="70">
        <v>0</v>
      </c>
      <c r="E29" s="76"/>
    </row>
    <row r="30" spans="1:14" x14ac:dyDescent="0.2">
      <c r="A30" s="77" t="s">
        <v>392</v>
      </c>
      <c r="B30" s="70">
        <v>0</v>
      </c>
      <c r="C30" s="70">
        <v>0</v>
      </c>
      <c r="G30" s="68"/>
      <c r="J30" s="68"/>
    </row>
    <row r="31" spans="1:14" x14ac:dyDescent="0.2">
      <c r="A31" s="77" t="s">
        <v>428</v>
      </c>
      <c r="B31" s="70">
        <f>60.99+21.99</f>
        <v>82.98</v>
      </c>
      <c r="C31" s="70">
        <f>B31</f>
        <v>82.98</v>
      </c>
      <c r="G31" s="68"/>
      <c r="J31" s="68"/>
    </row>
    <row r="32" spans="1:14" x14ac:dyDescent="0.2">
      <c r="A32" s="77" t="s">
        <v>429</v>
      </c>
      <c r="B32" s="70">
        <f>(12+2.5+8)*3</f>
        <v>67.5</v>
      </c>
      <c r="C32" s="70">
        <f>B32</f>
        <v>67.5</v>
      </c>
      <c r="G32" s="68"/>
      <c r="J32" s="68"/>
    </row>
    <row r="33" spans="1:10" x14ac:dyDescent="0.2">
      <c r="A33" s="71" t="s">
        <v>395</v>
      </c>
      <c r="B33" s="71">
        <v>40</v>
      </c>
      <c r="C33" s="70">
        <v>40</v>
      </c>
      <c r="J33" s="83"/>
    </row>
    <row r="34" spans="1:10" x14ac:dyDescent="0.2">
      <c r="C34" s="68">
        <v>0</v>
      </c>
      <c r="E34" s="103"/>
      <c r="F34" s="83"/>
    </row>
    <row r="35" spans="1:10" ht="12" thickBot="1" x14ac:dyDescent="0.25">
      <c r="A35" s="67" t="s">
        <v>31</v>
      </c>
      <c r="B35" s="67">
        <f>SUM(C2:C33)</f>
        <v>3268.1468789999999</v>
      </c>
      <c r="C35" s="68">
        <v>0</v>
      </c>
      <c r="E35" s="76"/>
      <c r="H35" s="68"/>
      <c r="I35" s="68"/>
    </row>
    <row r="36" spans="1:10" x14ac:dyDescent="0.2">
      <c r="A36" s="79" t="s">
        <v>24</v>
      </c>
      <c r="B36" s="80">
        <f>B38-B35</f>
        <v>0</v>
      </c>
      <c r="C36" s="100"/>
      <c r="G36" s="67">
        <v>15013</v>
      </c>
      <c r="J36" s="66">
        <f>(G36)/(G36+G37)</f>
        <v>0.75065000000000004</v>
      </c>
    </row>
    <row r="37" spans="1:10" x14ac:dyDescent="0.2">
      <c r="A37" s="82"/>
      <c r="B37" s="83"/>
      <c r="C37" s="84"/>
      <c r="E37" s="67">
        <v>263</v>
      </c>
      <c r="G37" s="67">
        <v>4987</v>
      </c>
      <c r="H37" s="83"/>
      <c r="I37" s="83"/>
    </row>
    <row r="38" spans="1:10" x14ac:dyDescent="0.2">
      <c r="A38" s="82" t="s">
        <v>20</v>
      </c>
      <c r="B38" s="85">
        <f>SUM(B2:B21)+SUM(B22:B33)</f>
        <v>3268.1468789999999</v>
      </c>
      <c r="C38" s="86"/>
      <c r="G38" s="67">
        <f>SUM(G36:G37)</f>
        <v>20000</v>
      </c>
    </row>
    <row r="39" spans="1:10" x14ac:dyDescent="0.2">
      <c r="A39" s="82"/>
      <c r="B39" s="83">
        <f>B38</f>
        <v>3268.1468789999999</v>
      </c>
      <c r="C39" s="84"/>
      <c r="D39" s="76"/>
      <c r="E39" s="67">
        <f>B36-E37</f>
        <v>-263</v>
      </c>
      <c r="G39" s="67">
        <f>G36/B40</f>
        <v>5267.7192982456136</v>
      </c>
      <c r="I39" s="66"/>
    </row>
    <row r="40" spans="1:10" x14ac:dyDescent="0.2">
      <c r="A40" s="87"/>
      <c r="B40" s="83">
        <f>2.85</f>
        <v>2.85</v>
      </c>
      <c r="C40" s="84"/>
      <c r="D40" s="66"/>
      <c r="E40" s="69"/>
      <c r="I40" s="66" t="s">
        <v>34</v>
      </c>
    </row>
    <row r="41" spans="1:10" ht="12" thickBot="1" x14ac:dyDescent="0.25">
      <c r="A41" s="88"/>
      <c r="B41" s="89"/>
      <c r="C41" s="90"/>
      <c r="D41" s="66"/>
      <c r="E41" s="66"/>
      <c r="H41" s="67">
        <f>B14/2.8</f>
        <v>116.25959964285715</v>
      </c>
      <c r="I41" s="66">
        <f>433.66*(G36)/(G36+G37)</f>
        <v>325.52687900000001</v>
      </c>
    </row>
    <row r="42" spans="1:10" x14ac:dyDescent="0.2">
      <c r="D42" s="66">
        <f>B36-727</f>
        <v>-727</v>
      </c>
      <c r="E42" s="66"/>
      <c r="F42" s="66"/>
      <c r="I42" s="66"/>
    </row>
    <row r="43" spans="1:10" x14ac:dyDescent="0.2">
      <c r="D43" s="66"/>
      <c r="E43" s="66"/>
      <c r="F43" s="66"/>
      <c r="I43" s="76">
        <f>2200/B40</f>
        <v>771.92982456140351</v>
      </c>
    </row>
    <row r="44" spans="1:10" x14ac:dyDescent="0.2">
      <c r="E44" s="66"/>
    </row>
    <row r="45" spans="1:10" x14ac:dyDescent="0.2">
      <c r="E45" s="66"/>
      <c r="F45" s="66"/>
    </row>
    <row r="51" spans="1:2" x14ac:dyDescent="0.2">
      <c r="A51" s="66"/>
    </row>
    <row r="52" spans="1:2" x14ac:dyDescent="0.2">
      <c r="B52" s="76"/>
    </row>
  </sheetData>
  <pageMargins left="0.7" right="0.7" top="0.75" bottom="0.75" header="0.3" footer="0.3"/>
  <pageSetup paperSize="9" orientation="portrait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A24" sqref="A24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9" x14ac:dyDescent="0.2">
      <c r="A1" s="66" t="s">
        <v>56</v>
      </c>
      <c r="C1" s="67" t="s">
        <v>2</v>
      </c>
      <c r="D1" s="66"/>
    </row>
    <row r="2" spans="1:9" x14ac:dyDescent="0.2">
      <c r="A2" s="70" t="s">
        <v>4</v>
      </c>
      <c r="B2" s="70">
        <v>400</v>
      </c>
      <c r="C2" s="70">
        <f>B2</f>
        <v>400</v>
      </c>
      <c r="I2" s="69"/>
    </row>
    <row r="3" spans="1:9" x14ac:dyDescent="0.2">
      <c r="A3" s="70" t="s">
        <v>7</v>
      </c>
      <c r="B3" s="70">
        <v>89</v>
      </c>
      <c r="C3" s="70">
        <f t="shared" ref="C3:C12" si="0">B3</f>
        <v>89</v>
      </c>
    </row>
    <row r="4" spans="1:9" x14ac:dyDescent="0.2">
      <c r="A4" s="70" t="s">
        <v>201</v>
      </c>
      <c r="B4" s="70">
        <v>129</v>
      </c>
      <c r="C4" s="70">
        <f t="shared" si="0"/>
        <v>129</v>
      </c>
      <c r="E4" s="66"/>
      <c r="F4" s="66"/>
    </row>
    <row r="5" spans="1:9" x14ac:dyDescent="0.2">
      <c r="A5" s="70" t="s">
        <v>196</v>
      </c>
      <c r="B5" s="70">
        <v>220</v>
      </c>
      <c r="C5" s="70">
        <f>B5</f>
        <v>220</v>
      </c>
      <c r="F5" s="66"/>
    </row>
    <row r="6" spans="1:9" x14ac:dyDescent="0.2">
      <c r="A6" s="70" t="s">
        <v>216</v>
      </c>
      <c r="B6" s="70">
        <v>539.47</v>
      </c>
      <c r="C6" s="70">
        <f t="shared" si="0"/>
        <v>539.47</v>
      </c>
      <c r="D6" s="113"/>
      <c r="E6" s="66"/>
      <c r="F6" s="66"/>
      <c r="H6" s="66"/>
    </row>
    <row r="7" spans="1:9" x14ac:dyDescent="0.2">
      <c r="A7" s="70" t="s">
        <v>210</v>
      </c>
      <c r="B7" s="70">
        <f>10*4</f>
        <v>40</v>
      </c>
      <c r="C7" s="70">
        <f t="shared" si="0"/>
        <v>40</v>
      </c>
      <c r="D7" s="67" t="s">
        <v>233</v>
      </c>
      <c r="I7" s="66"/>
    </row>
    <row r="8" spans="1:9" x14ac:dyDescent="0.2">
      <c r="A8" s="70" t="s">
        <v>171</v>
      </c>
      <c r="B8" s="70">
        <v>50</v>
      </c>
      <c r="C8" s="70">
        <f t="shared" si="0"/>
        <v>50</v>
      </c>
      <c r="E8" s="66"/>
      <c r="G8" s="67">
        <f>150+60+50</f>
        <v>260</v>
      </c>
      <c r="H8" s="66"/>
      <c r="I8" s="66"/>
    </row>
    <row r="9" spans="1:9" x14ac:dyDescent="0.2">
      <c r="A9" s="70" t="s">
        <v>211</v>
      </c>
      <c r="B9" s="70">
        <v>85</v>
      </c>
      <c r="C9" s="70">
        <f t="shared" si="0"/>
        <v>85</v>
      </c>
      <c r="D9" s="114"/>
      <c r="F9" s="66"/>
      <c r="G9" s="67">
        <v>65</v>
      </c>
    </row>
    <row r="10" spans="1:9" x14ac:dyDescent="0.2">
      <c r="A10" s="70" t="s">
        <v>186</v>
      </c>
      <c r="B10" s="70">
        <v>68</v>
      </c>
      <c r="C10" s="70">
        <f t="shared" si="0"/>
        <v>68</v>
      </c>
      <c r="D10" s="114"/>
      <c r="E10" s="68"/>
      <c r="G10" s="67">
        <f>SUM(G8:G9)</f>
        <v>325</v>
      </c>
    </row>
    <row r="11" spans="1:9" x14ac:dyDescent="0.2">
      <c r="A11" s="135" t="s">
        <v>13</v>
      </c>
      <c r="B11" s="135">
        <v>170.89</v>
      </c>
      <c r="C11" s="135">
        <f t="shared" si="0"/>
        <v>170.89</v>
      </c>
      <c r="E11" s="68"/>
      <c r="H11" s="68"/>
    </row>
    <row r="12" spans="1:9" x14ac:dyDescent="0.2">
      <c r="A12" s="70" t="s">
        <v>423</v>
      </c>
      <c r="B12" s="70">
        <v>134.97999999999999</v>
      </c>
      <c r="C12" s="70">
        <f t="shared" si="0"/>
        <v>134.97999999999999</v>
      </c>
    </row>
    <row r="13" spans="1:9" x14ac:dyDescent="0.2">
      <c r="A13" s="70" t="s">
        <v>17</v>
      </c>
      <c r="B13" s="70">
        <v>12</v>
      </c>
      <c r="C13" s="70">
        <v>12</v>
      </c>
      <c r="H13" s="68"/>
    </row>
    <row r="14" spans="1:9" x14ac:dyDescent="0.2">
      <c r="A14" s="70" t="s">
        <v>26</v>
      </c>
      <c r="B14" s="70">
        <f>I42</f>
        <v>325.52687900000001</v>
      </c>
      <c r="C14" s="70">
        <f>B14</f>
        <v>325.52687900000001</v>
      </c>
    </row>
    <row r="15" spans="1:9" x14ac:dyDescent="0.2">
      <c r="A15" s="70" t="s">
        <v>419</v>
      </c>
      <c r="B15" s="70">
        <v>100</v>
      </c>
      <c r="C15" s="70">
        <f>B15</f>
        <v>100</v>
      </c>
    </row>
    <row r="16" spans="1:9" x14ac:dyDescent="0.2">
      <c r="A16" s="68" t="s">
        <v>32</v>
      </c>
      <c r="B16" s="68">
        <v>0</v>
      </c>
      <c r="C16" s="68">
        <v>0</v>
      </c>
      <c r="E16" s="66"/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  <c r="G17" s="67">
        <f>180-15</f>
        <v>165</v>
      </c>
    </row>
    <row r="18" spans="1:14" x14ac:dyDescent="0.2">
      <c r="A18" s="68" t="s">
        <v>291</v>
      </c>
      <c r="B18" s="68">
        <f>0.5*20+20</f>
        <v>30</v>
      </c>
      <c r="C18" s="68">
        <f>0.5*16+13</f>
        <v>21</v>
      </c>
      <c r="E18" s="68"/>
    </row>
    <row r="19" spans="1:14" x14ac:dyDescent="0.2">
      <c r="A19" s="68" t="s">
        <v>430</v>
      </c>
      <c r="B19" s="68">
        <f>8.5*20</f>
        <v>170</v>
      </c>
      <c r="C19" s="68">
        <f>8.5*16</f>
        <v>136</v>
      </c>
      <c r="D19" s="68"/>
      <c r="E19" s="68"/>
      <c r="F19" s="68"/>
      <c r="G19" s="68"/>
      <c r="N19" s="66"/>
    </row>
    <row r="20" spans="1:14" x14ac:dyDescent="0.2">
      <c r="A20" s="70" t="s">
        <v>431</v>
      </c>
      <c r="B20" s="70">
        <f>3*21</f>
        <v>63</v>
      </c>
      <c r="C20" s="70">
        <v>63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(0.7)*16+(2.5/2)*16+  (2.5/2)*16+(1.7)*16</f>
        <v>78.400000000000006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5*16</f>
        <v>80</v>
      </c>
      <c r="D22" s="68"/>
      <c r="E22" s="68"/>
      <c r="F22" s="68"/>
      <c r="G22" s="68"/>
      <c r="H22" s="68"/>
      <c r="L22" s="68"/>
      <c r="N22" s="66"/>
    </row>
    <row r="23" spans="1:14" x14ac:dyDescent="0.2">
      <c r="A23" s="74" t="s">
        <v>61</v>
      </c>
      <c r="B23" s="68"/>
      <c r="C23" s="68">
        <v>0</v>
      </c>
      <c r="F23" s="67">
        <f>B37-E25</f>
        <v>82.599999999999909</v>
      </c>
      <c r="G23" s="67">
        <f>F23-405</f>
        <v>-322.40000000000009</v>
      </c>
    </row>
    <row r="24" spans="1:14" x14ac:dyDescent="0.2">
      <c r="A24" s="74" t="s">
        <v>221</v>
      </c>
      <c r="B24" s="68">
        <v>0</v>
      </c>
      <c r="C24" s="68">
        <v>0</v>
      </c>
      <c r="E24" s="67">
        <v>587</v>
      </c>
      <c r="H24" s="68"/>
      <c r="I24" s="68"/>
    </row>
    <row r="25" spans="1:14" x14ac:dyDescent="0.2">
      <c r="A25" s="75" t="s">
        <v>112</v>
      </c>
      <c r="B25" s="68">
        <v>0</v>
      </c>
      <c r="C25" s="68">
        <v>0</v>
      </c>
      <c r="F25" s="66"/>
      <c r="H25" s="68"/>
      <c r="I25" s="68"/>
    </row>
    <row r="26" spans="1:14" x14ac:dyDescent="0.2">
      <c r="A26" s="75" t="s">
        <v>218</v>
      </c>
      <c r="B26" s="68">
        <v>0</v>
      </c>
      <c r="C26" s="68">
        <v>0</v>
      </c>
      <c r="E26" s="66">
        <f>SUM(E24:E25)</f>
        <v>587</v>
      </c>
      <c r="F26" s="66"/>
    </row>
    <row r="27" spans="1:14" x14ac:dyDescent="0.2">
      <c r="A27" s="77" t="s">
        <v>166</v>
      </c>
      <c r="B27" s="70">
        <v>285.25</v>
      </c>
      <c r="C27" s="70">
        <f>B27</f>
        <v>285.25</v>
      </c>
      <c r="E27" s="76"/>
      <c r="F27" s="76"/>
    </row>
    <row r="28" spans="1:14" x14ac:dyDescent="0.2">
      <c r="A28" s="77" t="s">
        <v>167</v>
      </c>
      <c r="B28" s="70">
        <v>50</v>
      </c>
      <c r="C28" s="70">
        <f>B28</f>
        <v>50</v>
      </c>
      <c r="I28" s="66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</row>
    <row r="30" spans="1:14" x14ac:dyDescent="0.2">
      <c r="A30" s="75" t="s">
        <v>374</v>
      </c>
      <c r="B30" s="68">
        <v>0</v>
      </c>
      <c r="C30" s="68">
        <v>0</v>
      </c>
      <c r="E30" s="76"/>
    </row>
    <row r="31" spans="1:14" x14ac:dyDescent="0.2">
      <c r="A31" s="75" t="s">
        <v>392</v>
      </c>
      <c r="B31" s="68">
        <v>0</v>
      </c>
      <c r="C31" s="68">
        <v>0</v>
      </c>
      <c r="G31" s="68"/>
      <c r="J31" s="68"/>
    </row>
    <row r="32" spans="1:14" x14ac:dyDescent="0.2">
      <c r="A32" s="77" t="s">
        <v>428</v>
      </c>
      <c r="B32" s="70">
        <f>60.99+21.99</f>
        <v>82.98</v>
      </c>
      <c r="C32" s="70">
        <f>B32</f>
        <v>82.98</v>
      </c>
      <c r="G32" s="68"/>
      <c r="J32" s="68"/>
    </row>
    <row r="33" spans="1:10" x14ac:dyDescent="0.2">
      <c r="A33" s="77" t="s">
        <v>429</v>
      </c>
      <c r="B33" s="70">
        <f>(12+2.5+8)*4</f>
        <v>90</v>
      </c>
      <c r="C33" s="70">
        <f>B33</f>
        <v>90</v>
      </c>
      <c r="G33" s="68"/>
      <c r="J33" s="68"/>
    </row>
    <row r="34" spans="1:10" x14ac:dyDescent="0.2">
      <c r="A34" s="71" t="s">
        <v>395</v>
      </c>
      <c r="B34" s="71">
        <v>40</v>
      </c>
      <c r="C34" s="70">
        <f>B34</f>
        <v>40</v>
      </c>
      <c r="J34" s="83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3535.4968790000003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82.599999999999909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SUM(B2:B22)+SUM(B23:B34)</f>
        <v>3618.0968790000002</v>
      </c>
      <c r="C39" s="86"/>
      <c r="G39" s="67">
        <f>SUM(G37:G38)</f>
        <v>20000</v>
      </c>
    </row>
    <row r="40" spans="1:10" x14ac:dyDescent="0.2">
      <c r="A40" s="82"/>
      <c r="B40" s="83">
        <f>B39</f>
        <v>3618.0968790000002</v>
      </c>
      <c r="C40" s="84"/>
      <c r="D40" s="76"/>
      <c r="E40" s="67">
        <f>B37-E38</f>
        <v>-180.40000000000009</v>
      </c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/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>
        <f>B37-727</f>
        <v>-644.40000000000009</v>
      </c>
      <c r="E43" s="66"/>
      <c r="F43" s="66"/>
      <c r="I43" s="66"/>
    </row>
    <row r="44" spans="1:10" x14ac:dyDescent="0.2">
      <c r="D44" s="66"/>
      <c r="E44" s="66"/>
      <c r="F44" s="66"/>
      <c r="I44" s="76">
        <f>2200/B41</f>
        <v>771.92982456140351</v>
      </c>
    </row>
    <row r="45" spans="1:10" x14ac:dyDescent="0.2">
      <c r="E45" s="66"/>
    </row>
    <row r="46" spans="1:10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E26" sqref="E26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550</v>
      </c>
      <c r="D3" s="4">
        <f>253+56.1+50-26+115</f>
        <v>448.1</v>
      </c>
      <c r="E3" s="4" t="s">
        <v>23</v>
      </c>
      <c r="F3" s="4">
        <v>15023</v>
      </c>
      <c r="G3" s="4" t="s">
        <v>28</v>
      </c>
      <c r="J3" s="4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300+150+55</f>
        <v>505</v>
      </c>
      <c r="D6" s="3">
        <f>B6</f>
        <v>505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D10" s="4">
        <v>5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J21</f>
        <v>325.52687900000001</v>
      </c>
      <c r="D11" s="3">
        <f>B11</f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150</v>
      </c>
      <c r="D13" s="3">
        <f>B13</f>
        <v>150</v>
      </c>
      <c r="E13" s="3" t="s">
        <v>23</v>
      </c>
      <c r="J13" s="5"/>
    </row>
    <row r="14" spans="1:10" s="4" customFormat="1" x14ac:dyDescent="0.25">
      <c r="A14" s="4" t="s">
        <v>40</v>
      </c>
      <c r="B14" s="4">
        <v>205</v>
      </c>
      <c r="D14" s="4">
        <f>50+26+80</f>
        <v>156</v>
      </c>
      <c r="J14" s="7"/>
    </row>
    <row r="15" spans="1:10" s="3" customFormat="1" x14ac:dyDescent="0.25">
      <c r="A15" s="3" t="s">
        <v>41</v>
      </c>
      <c r="B15" s="3">
        <v>70</v>
      </c>
      <c r="D15" s="3">
        <f>B15</f>
        <v>70</v>
      </c>
      <c r="J15" s="5"/>
    </row>
    <row r="16" spans="1:10" s="3" customFormat="1" x14ac:dyDescent="0.25">
      <c r="A16" s="3" t="s">
        <v>43</v>
      </c>
      <c r="B16" s="3">
        <v>50</v>
      </c>
      <c r="D16" s="3">
        <f>B16</f>
        <v>50</v>
      </c>
      <c r="J16" s="5"/>
    </row>
    <row r="17" spans="1:10" s="4" customFormat="1" x14ac:dyDescent="0.25">
      <c r="A17" s="4" t="s">
        <v>42</v>
      </c>
      <c r="B17" s="4">
        <v>32</v>
      </c>
      <c r="D17" s="4">
        <f>8+4</f>
        <v>12</v>
      </c>
      <c r="J17" s="7"/>
    </row>
    <row r="18" spans="1:10" s="3" customFormat="1" x14ac:dyDescent="0.25">
      <c r="A18" s="3" t="s">
        <v>44</v>
      </c>
      <c r="B18" s="3">
        <f>170+3*2.88</f>
        <v>178.64</v>
      </c>
      <c r="D18" s="3">
        <f>B18</f>
        <v>178.64</v>
      </c>
      <c r="J18" s="5"/>
    </row>
    <row r="19" spans="1:10" s="4" customFormat="1" x14ac:dyDescent="0.25">
      <c r="G19">
        <v>57.16</v>
      </c>
      <c r="H19" s="4">
        <f>D3-B3</f>
        <v>-101.89999999999998</v>
      </c>
      <c r="J19" s="7"/>
    </row>
    <row r="20" spans="1:10" s="4" customFormat="1" x14ac:dyDescent="0.25">
      <c r="A20" s="4" t="s">
        <v>31</v>
      </c>
      <c r="B20" s="4">
        <f>SUM(D3:D18)</f>
        <v>2807.7800790000001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195.89999999999964</v>
      </c>
      <c r="G21"/>
      <c r="H21" s="4">
        <v>15013</v>
      </c>
      <c r="I21" s="4">
        <f>B11/2.8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B11+B7</f>
        <v>417.52687900000001</v>
      </c>
      <c r="E22" s="4">
        <f>B6+B15+B16</f>
        <v>625</v>
      </c>
      <c r="F22" s="4">
        <f>E22+D22</f>
        <v>1042.526879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SUM(B3:B18)</f>
        <v>3003.6800789999998</v>
      </c>
      <c r="C23" s="6">
        <f>D12+56.1</f>
        <v>417.94319999999999</v>
      </c>
      <c r="D23" s="6"/>
      <c r="H23">
        <f>SUM(H21:H22)</f>
        <v>20000</v>
      </c>
    </row>
    <row r="24" spans="1:10" x14ac:dyDescent="0.25">
      <c r="B24">
        <f>B23/2.74</f>
        <v>1096.2336054744524</v>
      </c>
    </row>
    <row r="25" spans="1:10" x14ac:dyDescent="0.25">
      <c r="A25" s="2"/>
      <c r="E25" s="2" t="s">
        <v>21</v>
      </c>
      <c r="H25">
        <f>SUM(B11,B7)</f>
        <v>417.52687900000001</v>
      </c>
      <c r="I25">
        <f>SUM(B6,H25)</f>
        <v>922.52687900000001</v>
      </c>
    </row>
    <row r="26" spans="1:10" x14ac:dyDescent="0.25">
      <c r="E26" s="2">
        <f>1305-B24</f>
        <v>208.76639452554764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  <pageSetup orientation="portrait" horizontalDpi="300" verticalDpi="300"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B9" sqref="B9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2" x14ac:dyDescent="0.2">
      <c r="A1" s="66" t="s">
        <v>57</v>
      </c>
      <c r="C1" s="67" t="s">
        <v>2</v>
      </c>
      <c r="D1" s="66"/>
    </row>
    <row r="2" spans="1:12" x14ac:dyDescent="0.2">
      <c r="A2" s="70" t="s">
        <v>4</v>
      </c>
      <c r="B2" s="70">
        <v>400</v>
      </c>
      <c r="C2" s="70">
        <v>400</v>
      </c>
      <c r="I2" s="69"/>
    </row>
    <row r="3" spans="1:12" x14ac:dyDescent="0.2">
      <c r="A3" s="70" t="s">
        <v>7</v>
      </c>
      <c r="B3" s="70">
        <v>89</v>
      </c>
      <c r="C3" s="70">
        <f>B3</f>
        <v>89</v>
      </c>
      <c r="H3" s="67">
        <f>B13</f>
        <v>325.52687900000001</v>
      </c>
      <c r="I3" s="67">
        <f>B7</f>
        <v>50</v>
      </c>
    </row>
    <row r="4" spans="1:12" x14ac:dyDescent="0.2">
      <c r="A4" s="70" t="s">
        <v>201</v>
      </c>
      <c r="B4" s="70">
        <v>0</v>
      </c>
      <c r="C4" s="70">
        <v>0</v>
      </c>
      <c r="E4" s="66"/>
      <c r="F4" s="66"/>
      <c r="H4" s="67">
        <f>B14</f>
        <v>100</v>
      </c>
      <c r="I4" s="67">
        <f>B8</f>
        <v>85</v>
      </c>
    </row>
    <row r="5" spans="1:12" x14ac:dyDescent="0.2">
      <c r="A5" s="70" t="s">
        <v>196</v>
      </c>
      <c r="B5" s="70">
        <v>220</v>
      </c>
      <c r="C5" s="70">
        <f>B5</f>
        <v>220</v>
      </c>
      <c r="F5" s="66"/>
      <c r="H5" s="67">
        <f>B15</f>
        <v>200</v>
      </c>
      <c r="I5" s="67">
        <v>40</v>
      </c>
    </row>
    <row r="6" spans="1:12" x14ac:dyDescent="0.2">
      <c r="A6" s="70" t="s">
        <v>216</v>
      </c>
      <c r="B6" s="70">
        <v>642.67999999999995</v>
      </c>
      <c r="C6" s="70">
        <f>B6</f>
        <v>642.67999999999995</v>
      </c>
      <c r="D6" s="113"/>
      <c r="E6" s="66"/>
      <c r="F6" s="66">
        <f>B6-B5</f>
        <v>422.67999999999995</v>
      </c>
      <c r="H6" s="66">
        <f>B29</f>
        <v>85</v>
      </c>
    </row>
    <row r="7" spans="1:12" x14ac:dyDescent="0.2">
      <c r="A7" s="70" t="s">
        <v>171</v>
      </c>
      <c r="B7" s="70">
        <v>50</v>
      </c>
      <c r="C7" s="70">
        <f>B7</f>
        <v>50</v>
      </c>
      <c r="E7" s="66"/>
      <c r="H7" s="66"/>
      <c r="I7" s="66"/>
    </row>
    <row r="8" spans="1:12" x14ac:dyDescent="0.2">
      <c r="A8" s="70" t="s">
        <v>211</v>
      </c>
      <c r="B8" s="70">
        <v>85</v>
      </c>
      <c r="C8" s="70">
        <f>B8</f>
        <v>85</v>
      </c>
      <c r="D8" s="114"/>
      <c r="F8" s="66"/>
      <c r="H8" s="67">
        <f>SUM(H3:H7)</f>
        <v>710.52687900000001</v>
      </c>
      <c r="I8" s="67">
        <f>SUM(I3:I7)</f>
        <v>175</v>
      </c>
      <c r="K8" s="67">
        <f>SUM(H8:J8)</f>
        <v>885.52687900000001</v>
      </c>
    </row>
    <row r="9" spans="1:12" x14ac:dyDescent="0.2">
      <c r="A9" s="70" t="s">
        <v>186</v>
      </c>
      <c r="B9" s="70">
        <v>68</v>
      </c>
      <c r="C9" s="70">
        <v>68</v>
      </c>
      <c r="D9" s="114"/>
      <c r="E9" s="68"/>
    </row>
    <row r="10" spans="1:12" x14ac:dyDescent="0.2">
      <c r="A10" s="135" t="s">
        <v>13</v>
      </c>
      <c r="B10" s="135">
        <v>170.89</v>
      </c>
      <c r="C10" s="135">
        <f>B10</f>
        <v>170.89</v>
      </c>
      <c r="E10" s="68"/>
      <c r="F10" s="67">
        <v>50</v>
      </c>
      <c r="H10" s="68"/>
    </row>
    <row r="11" spans="1:12" x14ac:dyDescent="0.2">
      <c r="A11" s="70" t="s">
        <v>423</v>
      </c>
      <c r="B11" s="70">
        <f>75</f>
        <v>75</v>
      </c>
      <c r="C11" s="70">
        <f>B11</f>
        <v>75</v>
      </c>
      <c r="F11" s="67">
        <v>18</v>
      </c>
      <c r="H11" s="67">
        <v>3345</v>
      </c>
    </row>
    <row r="12" spans="1:12" x14ac:dyDescent="0.2">
      <c r="A12" s="70" t="s">
        <v>17</v>
      </c>
      <c r="B12" s="70">
        <v>12</v>
      </c>
      <c r="C12" s="70">
        <f>B12</f>
        <v>12</v>
      </c>
      <c r="F12" s="67">
        <v>66</v>
      </c>
      <c r="H12" s="68">
        <v>1400</v>
      </c>
      <c r="K12" s="67" t="s">
        <v>469</v>
      </c>
    </row>
    <row r="13" spans="1:12" x14ac:dyDescent="0.2">
      <c r="A13" s="70" t="s">
        <v>26</v>
      </c>
      <c r="B13" s="70">
        <f>I42</f>
        <v>325.52687900000001</v>
      </c>
      <c r="C13" s="70">
        <f>B13</f>
        <v>325.52687900000001</v>
      </c>
      <c r="E13" s="67">
        <v>-661</v>
      </c>
      <c r="F13" s="67">
        <v>18.170000000000002</v>
      </c>
      <c r="H13" s="71">
        <f>SUM(H11:H12)</f>
        <v>4745</v>
      </c>
      <c r="K13" s="67" t="s">
        <v>87</v>
      </c>
      <c r="L13" s="67">
        <f>80+80</f>
        <v>160</v>
      </c>
    </row>
    <row r="14" spans="1:12" x14ac:dyDescent="0.2">
      <c r="A14" s="70" t="s">
        <v>419</v>
      </c>
      <c r="B14" s="70">
        <v>100</v>
      </c>
      <c r="C14" s="70">
        <f t="shared" ref="C14:C15" si="0">B14</f>
        <v>100</v>
      </c>
      <c r="E14" s="67">
        <f>B37+E13</f>
        <v>-376.09999999999991</v>
      </c>
      <c r="F14" s="67">
        <f>SUM(F10:F13)</f>
        <v>152.17000000000002</v>
      </c>
      <c r="H14" s="67">
        <v>5160</v>
      </c>
      <c r="I14" s="67">
        <v>577</v>
      </c>
      <c r="K14" s="67" t="s">
        <v>470</v>
      </c>
      <c r="L14" s="67">
        <f>500</f>
        <v>500</v>
      </c>
    </row>
    <row r="15" spans="1:12" x14ac:dyDescent="0.2">
      <c r="A15" s="70" t="s">
        <v>432</v>
      </c>
      <c r="B15" s="70">
        <v>200</v>
      </c>
      <c r="C15" s="70">
        <f t="shared" si="0"/>
        <v>200</v>
      </c>
      <c r="H15" s="67">
        <f>H14-H13</f>
        <v>415</v>
      </c>
      <c r="I15" s="67">
        <f>-B37</f>
        <v>-284.90000000000009</v>
      </c>
      <c r="L15" s="67">
        <f>L13+L14</f>
        <v>660</v>
      </c>
    </row>
    <row r="16" spans="1:12" x14ac:dyDescent="0.2">
      <c r="A16" s="70" t="s">
        <v>32</v>
      </c>
      <c r="B16" s="70">
        <v>0</v>
      </c>
      <c r="C16" s="70">
        <v>0</v>
      </c>
      <c r="E16" s="66"/>
      <c r="F16" s="67" t="s">
        <v>441</v>
      </c>
      <c r="G16" s="67" t="s">
        <v>440</v>
      </c>
      <c r="H16" s="71">
        <f>H15-85</f>
        <v>330</v>
      </c>
      <c r="I16" s="71">
        <f>SUM(I14:I15)</f>
        <v>292.09999999999991</v>
      </c>
    </row>
    <row r="17" spans="1:14" x14ac:dyDescent="0.2">
      <c r="A17" s="68" t="s">
        <v>84</v>
      </c>
      <c r="B17" s="68">
        <v>160</v>
      </c>
      <c r="C17" s="68">
        <v>100</v>
      </c>
      <c r="E17" s="68"/>
      <c r="F17" s="67">
        <v>1000</v>
      </c>
      <c r="G17" s="67">
        <f>B37</f>
        <v>284.90000000000009</v>
      </c>
    </row>
    <row r="18" spans="1:14" x14ac:dyDescent="0.2">
      <c r="A18" s="68" t="s">
        <v>291</v>
      </c>
      <c r="B18" s="68">
        <f>0.5*20+20</f>
        <v>30</v>
      </c>
      <c r="C18" s="68">
        <f>0.5*19+19</f>
        <v>28.5</v>
      </c>
      <c r="E18" s="68"/>
      <c r="F18" s="67">
        <v>0</v>
      </c>
      <c r="G18" s="67">
        <v>492</v>
      </c>
      <c r="I18" s="67">
        <f>L15-I16</f>
        <v>367.90000000000009</v>
      </c>
    </row>
    <row r="19" spans="1:14" x14ac:dyDescent="0.2">
      <c r="A19" s="68" t="s">
        <v>430</v>
      </c>
      <c r="B19" s="68">
        <f>8.5*20</f>
        <v>170</v>
      </c>
      <c r="C19" s="68">
        <f>8.5*19</f>
        <v>161.5</v>
      </c>
      <c r="D19" s="68"/>
      <c r="E19" s="68"/>
      <c r="F19" s="70">
        <f>SUM(F17:F18)</f>
        <v>1000</v>
      </c>
      <c r="G19" s="70">
        <f>SUM(G17:G18)</f>
        <v>776.90000000000009</v>
      </c>
      <c r="N19" s="66"/>
    </row>
    <row r="20" spans="1:14" x14ac:dyDescent="0.2">
      <c r="A20" s="68" t="s">
        <v>431</v>
      </c>
      <c r="B20" s="68">
        <v>80</v>
      </c>
      <c r="C20" s="68">
        <v>40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(0.7)*19+(2.5/2)*19+  (2.5/2)*19+(1.7)*19</f>
        <v>93.1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5*19</f>
        <v>95</v>
      </c>
      <c r="D22" s="68"/>
      <c r="E22" s="68"/>
      <c r="F22" s="68"/>
      <c r="G22" s="68"/>
      <c r="H22" s="68"/>
      <c r="I22" s="68"/>
      <c r="J22" s="68"/>
      <c r="K22" s="68"/>
      <c r="L22" s="68"/>
      <c r="N22" s="66"/>
    </row>
    <row r="23" spans="1:14" x14ac:dyDescent="0.2">
      <c r="A23" s="73" t="s">
        <v>61</v>
      </c>
      <c r="B23" s="70"/>
      <c r="C23" s="70">
        <v>0</v>
      </c>
      <c r="G23" s="68"/>
      <c r="H23" s="68"/>
      <c r="I23" s="68"/>
      <c r="J23" s="68"/>
      <c r="K23" s="68"/>
    </row>
    <row r="24" spans="1:14" x14ac:dyDescent="0.2">
      <c r="A24" s="73" t="s">
        <v>221</v>
      </c>
      <c r="B24" s="70">
        <v>0</v>
      </c>
      <c r="C24" s="70">
        <v>0</v>
      </c>
      <c r="G24" s="68"/>
      <c r="H24" s="68"/>
      <c r="I24" s="68"/>
      <c r="J24" s="68"/>
      <c r="K24" s="68"/>
    </row>
    <row r="25" spans="1:14" x14ac:dyDescent="0.2">
      <c r="A25" s="77" t="s">
        <v>112</v>
      </c>
      <c r="B25" s="70">
        <v>0</v>
      </c>
      <c r="C25" s="70">
        <v>0</v>
      </c>
      <c r="F25" s="66"/>
      <c r="G25" s="68"/>
      <c r="H25" s="68"/>
      <c r="I25" s="68"/>
      <c r="J25" s="68"/>
      <c r="K25" s="68"/>
    </row>
    <row r="26" spans="1:14" x14ac:dyDescent="0.2">
      <c r="A26" s="77" t="s">
        <v>218</v>
      </c>
      <c r="B26" s="70">
        <v>0</v>
      </c>
      <c r="C26" s="70">
        <v>0</v>
      </c>
      <c r="E26" s="66"/>
      <c r="F26" s="66"/>
      <c r="G26" s="68"/>
      <c r="H26" s="68"/>
      <c r="I26" s="68"/>
      <c r="J26" s="68"/>
      <c r="K26" s="68"/>
    </row>
    <row r="27" spans="1:14" x14ac:dyDescent="0.2">
      <c r="A27" s="77" t="s">
        <v>166</v>
      </c>
      <c r="B27" s="70">
        <v>290.63</v>
      </c>
      <c r="C27" s="70">
        <f>B27</f>
        <v>290.63</v>
      </c>
      <c r="E27" s="76"/>
      <c r="F27" s="76"/>
      <c r="G27" s="68"/>
      <c r="H27" s="68"/>
      <c r="I27" s="68"/>
      <c r="J27" s="68"/>
      <c r="K27" s="68"/>
    </row>
    <row r="28" spans="1:14" x14ac:dyDescent="0.2">
      <c r="A28" s="77" t="s">
        <v>167</v>
      </c>
      <c r="B28" s="70">
        <v>50</v>
      </c>
      <c r="C28" s="70">
        <f>B28</f>
        <v>50</v>
      </c>
      <c r="G28" s="68"/>
      <c r="H28" s="68"/>
      <c r="I28" s="74"/>
      <c r="J28" s="68"/>
      <c r="K28" s="68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  <c r="G29" s="68"/>
      <c r="H29" s="68"/>
      <c r="I29" s="68"/>
      <c r="J29" s="68"/>
      <c r="K29" s="68"/>
    </row>
    <row r="30" spans="1:14" x14ac:dyDescent="0.2">
      <c r="A30" s="77" t="s">
        <v>374</v>
      </c>
      <c r="B30" s="70">
        <v>0</v>
      </c>
      <c r="C30" s="70">
        <v>0</v>
      </c>
      <c r="E30" s="76"/>
      <c r="G30" s="68"/>
      <c r="H30" s="68"/>
      <c r="I30" s="68"/>
      <c r="J30" s="68"/>
      <c r="K30" s="68"/>
    </row>
    <row r="31" spans="1:14" x14ac:dyDescent="0.2">
      <c r="A31" s="77" t="s">
        <v>392</v>
      </c>
      <c r="B31" s="70">
        <v>0</v>
      </c>
      <c r="C31" s="70">
        <v>0</v>
      </c>
      <c r="G31" s="68"/>
      <c r="H31" s="68"/>
      <c r="I31" s="68"/>
      <c r="J31" s="68"/>
      <c r="K31" s="68"/>
    </row>
    <row r="32" spans="1:14" x14ac:dyDescent="0.2">
      <c r="A32" s="75" t="s">
        <v>428</v>
      </c>
      <c r="B32" s="68">
        <f>165</f>
        <v>165</v>
      </c>
      <c r="C32" s="68">
        <v>0</v>
      </c>
      <c r="D32" s="68"/>
      <c r="E32" s="68"/>
      <c r="F32" s="68"/>
      <c r="G32" s="68"/>
      <c r="H32" s="68"/>
      <c r="I32" s="68"/>
      <c r="J32" s="68"/>
      <c r="K32" s="68"/>
    </row>
    <row r="33" spans="1:11" x14ac:dyDescent="0.2">
      <c r="A33" s="77" t="s">
        <v>429</v>
      </c>
      <c r="B33" s="70">
        <f>(12+2.5+8)*4</f>
        <v>90</v>
      </c>
      <c r="C33" s="70">
        <f>(12+2.5+8)*4</f>
        <v>90</v>
      </c>
      <c r="D33" s="68"/>
      <c r="E33" s="68"/>
      <c r="F33" s="68"/>
      <c r="G33" s="68"/>
      <c r="H33" s="68"/>
      <c r="I33" s="68"/>
      <c r="J33" s="68"/>
      <c r="K33" s="68"/>
    </row>
    <row r="34" spans="1:11" x14ac:dyDescent="0.2">
      <c r="A34" s="71" t="s">
        <v>395</v>
      </c>
      <c r="B34" s="71">
        <v>40</v>
      </c>
      <c r="C34" s="70">
        <v>40</v>
      </c>
      <c r="D34" s="68"/>
      <c r="E34" s="68"/>
      <c r="F34" s="68"/>
      <c r="G34" s="68"/>
      <c r="H34" s="68"/>
      <c r="I34" s="68"/>
      <c r="J34" s="68"/>
      <c r="K34" s="68"/>
    </row>
    <row r="35" spans="1:11" x14ac:dyDescent="0.2">
      <c r="C35" s="68">
        <v>0</v>
      </c>
      <c r="D35" s="68"/>
      <c r="E35" s="105"/>
      <c r="F35" s="68"/>
      <c r="G35" s="68"/>
      <c r="H35" s="68"/>
      <c r="I35" s="68"/>
      <c r="J35" s="68"/>
      <c r="K35" s="68"/>
    </row>
    <row r="36" spans="1:11" ht="12" thickBot="1" x14ac:dyDescent="0.25">
      <c r="A36" s="67" t="s">
        <v>31</v>
      </c>
      <c r="B36" s="67">
        <f>SUM(C2:C34)</f>
        <v>3511.8268789999997</v>
      </c>
      <c r="C36" s="68">
        <v>0</v>
      </c>
      <c r="D36" s="68"/>
      <c r="E36" s="105"/>
      <c r="F36" s="68"/>
      <c r="G36" s="68"/>
      <c r="H36" s="68"/>
      <c r="I36" s="68"/>
      <c r="J36" s="68"/>
      <c r="K36" s="68"/>
    </row>
    <row r="37" spans="1:11" x14ac:dyDescent="0.2">
      <c r="A37" s="79" t="s">
        <v>24</v>
      </c>
      <c r="B37" s="80">
        <f>B39-B36</f>
        <v>284.90000000000009</v>
      </c>
      <c r="C37" s="100"/>
      <c r="G37" s="67">
        <v>15013</v>
      </c>
      <c r="J37" s="66">
        <f>(G37)/(G37+G38)</f>
        <v>0.75065000000000004</v>
      </c>
    </row>
    <row r="38" spans="1:11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1" x14ac:dyDescent="0.2">
      <c r="A39" s="82" t="s">
        <v>20</v>
      </c>
      <c r="B39" s="85">
        <f>SUM(B2:B22)+SUM(B23:B34)</f>
        <v>3796.7268789999998</v>
      </c>
      <c r="C39" s="86"/>
      <c r="G39" s="67">
        <f>SUM(G37:G38)</f>
        <v>20000</v>
      </c>
    </row>
    <row r="40" spans="1:11" x14ac:dyDescent="0.2">
      <c r="A40" s="82"/>
      <c r="B40" s="83">
        <f>B39</f>
        <v>3796.7268789999998</v>
      </c>
      <c r="C40" s="84"/>
      <c r="D40" s="76"/>
      <c r="E40" s="67">
        <f>B37-E38</f>
        <v>21.900000000000091</v>
      </c>
      <c r="G40" s="67">
        <f>G37/B41</f>
        <v>5267.7192982456136</v>
      </c>
      <c r="I40" s="66"/>
    </row>
    <row r="41" spans="1:11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1" ht="12" thickBot="1" x14ac:dyDescent="0.25">
      <c r="A42" s="88"/>
      <c r="B42" s="89"/>
      <c r="C42" s="90"/>
      <c r="D42" s="66"/>
      <c r="E42" s="66"/>
      <c r="H42" s="67">
        <f>B13/2.8</f>
        <v>116.25959964285715</v>
      </c>
      <c r="I42" s="66">
        <f>433.66*(G37)/(G37+G38)</f>
        <v>325.52687900000001</v>
      </c>
    </row>
    <row r="43" spans="1:11" x14ac:dyDescent="0.2">
      <c r="D43" s="66">
        <f>B37-727</f>
        <v>-442.09999999999991</v>
      </c>
      <c r="E43" s="66"/>
      <c r="F43" s="66"/>
      <c r="I43" s="66"/>
    </row>
    <row r="44" spans="1:11" x14ac:dyDescent="0.2">
      <c r="D44" s="66"/>
      <c r="E44" s="66"/>
      <c r="F44" s="66"/>
      <c r="I44" s="76">
        <f>2200/B41</f>
        <v>771.92982456140351</v>
      </c>
    </row>
    <row r="45" spans="1:11" x14ac:dyDescent="0.2">
      <c r="E45" s="66"/>
    </row>
    <row r="46" spans="1:11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17.7109375" style="146" customWidth="1"/>
    <col min="6" max="6" width="15.5703125" style="146" bestFit="1" customWidth="1"/>
    <col min="7" max="7" width="17" style="146" bestFit="1" customWidth="1"/>
    <col min="8" max="8" width="17.7109375" style="146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58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E2" s="167" t="s">
        <v>472</v>
      </c>
      <c r="F2" s="167">
        <f>330+B6</f>
        <v>1043.3400000000001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</row>
    <row r="4" spans="1:9" x14ac:dyDescent="0.2">
      <c r="A4" s="165" t="s">
        <v>201</v>
      </c>
      <c r="B4" s="165">
        <v>0</v>
      </c>
      <c r="C4" s="165">
        <v>0</v>
      </c>
      <c r="E4" s="145" t="s">
        <v>176</v>
      </c>
      <c r="F4" s="145">
        <f>B7+B8</f>
        <v>135</v>
      </c>
    </row>
    <row r="5" spans="1:9" x14ac:dyDescent="0.2">
      <c r="A5" s="165" t="s">
        <v>196</v>
      </c>
      <c r="B5" s="165">
        <v>195</v>
      </c>
      <c r="C5" s="165">
        <f>B5</f>
        <v>195</v>
      </c>
      <c r="F5" s="145"/>
    </row>
    <row r="6" spans="1:9" x14ac:dyDescent="0.2">
      <c r="A6" s="165" t="s">
        <v>216</v>
      </c>
      <c r="B6" s="165">
        <v>713.34</v>
      </c>
      <c r="C6" s="165">
        <f t="shared" ref="C6:C8" si="0">B6</f>
        <v>713.34</v>
      </c>
      <c r="D6" s="149"/>
      <c r="E6" s="145" t="s">
        <v>261</v>
      </c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 t="shared" si="0"/>
        <v>50</v>
      </c>
      <c r="E7" s="145"/>
      <c r="H7" s="145"/>
      <c r="I7" s="145"/>
    </row>
    <row r="8" spans="1:9" x14ac:dyDescent="0.2">
      <c r="A8" s="165" t="s">
        <v>211</v>
      </c>
      <c r="B8" s="165">
        <v>85</v>
      </c>
      <c r="C8" s="165">
        <f t="shared" si="0"/>
        <v>85</v>
      </c>
      <c r="D8" s="150"/>
      <c r="F8" s="145"/>
    </row>
    <row r="9" spans="1:9" x14ac:dyDescent="0.2">
      <c r="A9" s="165" t="s">
        <v>186</v>
      </c>
      <c r="B9" s="165">
        <v>0</v>
      </c>
      <c r="C9" s="165">
        <v>0</v>
      </c>
      <c r="D9" s="150"/>
      <c r="E9" s="165" t="s">
        <v>20</v>
      </c>
      <c r="F9" s="167">
        <f>F4+F6</f>
        <v>845.52687900000001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59</v>
      </c>
      <c r="C11" s="165">
        <f>B11</f>
        <v>59</v>
      </c>
    </row>
    <row r="12" spans="1:9" x14ac:dyDescent="0.2">
      <c r="A12" s="165" t="s">
        <v>17</v>
      </c>
      <c r="B12" s="165">
        <v>12</v>
      </c>
      <c r="C12" s="165">
        <f>B12</f>
        <v>12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 t="shared" ref="C13:C22" si="1">B13</f>
        <v>325.52687900000001</v>
      </c>
    </row>
    <row r="14" spans="1:9" x14ac:dyDescent="0.2">
      <c r="A14" s="165" t="s">
        <v>419</v>
      </c>
      <c r="B14" s="165">
        <v>100</v>
      </c>
      <c r="C14" s="165">
        <f t="shared" si="1"/>
        <v>100</v>
      </c>
    </row>
    <row r="15" spans="1:9" x14ac:dyDescent="0.2">
      <c r="A15" s="165" t="s">
        <v>471</v>
      </c>
      <c r="B15" s="165">
        <v>200</v>
      </c>
      <c r="C15" s="165">
        <f t="shared" si="1"/>
        <v>200</v>
      </c>
    </row>
    <row r="16" spans="1:9" x14ac:dyDescent="0.2">
      <c r="A16" s="165" t="s">
        <v>32</v>
      </c>
      <c r="B16" s="165">
        <v>0</v>
      </c>
      <c r="C16" s="165">
        <f t="shared" si="1"/>
        <v>0</v>
      </c>
      <c r="E16" s="145"/>
    </row>
    <row r="17" spans="1:14" x14ac:dyDescent="0.2">
      <c r="A17" s="165" t="s">
        <v>84</v>
      </c>
      <c r="B17" s="165">
        <v>160</v>
      </c>
      <c r="C17" s="165">
        <f t="shared" si="1"/>
        <v>160</v>
      </c>
      <c r="E17" s="147"/>
    </row>
    <row r="18" spans="1:14" x14ac:dyDescent="0.2">
      <c r="A18" s="165" t="s">
        <v>291</v>
      </c>
      <c r="B18" s="165">
        <f>0.5*20+20</f>
        <v>30</v>
      </c>
      <c r="C18" s="165">
        <f t="shared" si="1"/>
        <v>30</v>
      </c>
      <c r="E18" s="147"/>
    </row>
    <row r="19" spans="1:14" x14ac:dyDescent="0.2">
      <c r="A19" s="165" t="s">
        <v>430</v>
      </c>
      <c r="B19" s="165">
        <f>8.5*20</f>
        <v>170</v>
      </c>
      <c r="C19" s="165">
        <f t="shared" si="1"/>
        <v>170</v>
      </c>
      <c r="D19" s="147"/>
      <c r="E19" s="147"/>
      <c r="F19" s="147"/>
      <c r="G19" s="147"/>
      <c r="N19" s="145"/>
    </row>
    <row r="20" spans="1:14" x14ac:dyDescent="0.2">
      <c r="A20" s="165" t="s">
        <v>431</v>
      </c>
      <c r="B20" s="165">
        <v>80</v>
      </c>
      <c r="C20" s="165">
        <f t="shared" si="1"/>
        <v>80</v>
      </c>
      <c r="D20" s="147"/>
      <c r="E20" s="147"/>
      <c r="F20" s="147"/>
      <c r="G20" s="147"/>
      <c r="N20" s="145"/>
    </row>
    <row r="21" spans="1:14" x14ac:dyDescent="0.2">
      <c r="A21" s="165" t="s">
        <v>87</v>
      </c>
      <c r="B21" s="165">
        <f>(0.7)*20+(2.5/2)*20   +  (2.5/2)*20+(1.7)*20</f>
        <v>98</v>
      </c>
      <c r="C21" s="165">
        <f t="shared" si="1"/>
        <v>98</v>
      </c>
      <c r="D21" s="147"/>
      <c r="E21" s="147"/>
      <c r="F21" s="147"/>
      <c r="G21" s="147"/>
      <c r="N21" s="145"/>
    </row>
    <row r="22" spans="1:14" x14ac:dyDescent="0.2">
      <c r="A22" s="165" t="s">
        <v>89</v>
      </c>
      <c r="B22" s="165">
        <f>5*20</f>
        <v>100</v>
      </c>
      <c r="C22" s="165">
        <f t="shared" si="1"/>
        <v>100</v>
      </c>
      <c r="D22" s="147"/>
      <c r="E22" s="147"/>
      <c r="F22" s="147"/>
      <c r="G22" s="147"/>
      <c r="H22" s="147"/>
      <c r="I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 t="shared" ref="C33:C34" si="2">B33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7" t="s">
        <v>395</v>
      </c>
      <c r="B34" s="167">
        <v>40</v>
      </c>
      <c r="C34" s="165">
        <f t="shared" si="2"/>
        <v>40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7"/>
      <c r="B35" s="167"/>
      <c r="C35" s="165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3758.3868790000001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0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3758.3868790000001</v>
      </c>
      <c r="C39" s="160"/>
      <c r="G39" s="146">
        <f>SUM(G37:G38)</f>
        <v>20000</v>
      </c>
    </row>
    <row r="40" spans="1:11" x14ac:dyDescent="0.2">
      <c r="A40" s="156"/>
      <c r="B40" s="157">
        <f>B39</f>
        <v>3758.3868790000001</v>
      </c>
      <c r="C40" s="158"/>
      <c r="E40" s="146">
        <f>B37-E38</f>
        <v>-263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-727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paperSize="9" orientation="portrait"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0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330</v>
      </c>
      <c r="F2" s="145" t="s">
        <v>473</v>
      </c>
      <c r="G2" s="146">
        <v>19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f>195+7</f>
        <v>202</v>
      </c>
      <c r="C5" s="165">
        <f>B5</f>
        <v>202</v>
      </c>
      <c r="F5" s="145" t="s">
        <v>475</v>
      </c>
    </row>
    <row r="6" spans="1:9" x14ac:dyDescent="0.2">
      <c r="A6" s="165" t="s">
        <v>216</v>
      </c>
      <c r="B6" s="165">
        <v>498</v>
      </c>
      <c r="C6" s="165">
        <f>B6</f>
        <v>498</v>
      </c>
      <c r="D6" s="149"/>
      <c r="E6" s="145"/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/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E8" s="146">
        <v>2153.4</v>
      </c>
      <c r="F8" s="145">
        <v>-56.5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>
        <v>-149</v>
      </c>
      <c r="F9" s="169">
        <f>SUM(F6:F8)</f>
        <v>334.02687900000001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163.28</v>
      </c>
      <c r="C11" s="165">
        <f>B11</f>
        <v>163.28</v>
      </c>
      <c r="E11" s="146">
        <f>SUM(E8:E10)</f>
        <v>2004.4</v>
      </c>
    </row>
    <row r="12" spans="1:9" x14ac:dyDescent="0.2">
      <c r="A12" s="165" t="s">
        <v>17</v>
      </c>
      <c r="B12" s="165">
        <v>14</v>
      </c>
      <c r="C12" s="165">
        <v>14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>B13</f>
        <v>325.52687900000001</v>
      </c>
      <c r="E13" s="167">
        <f>B37-660.62</f>
        <v>-435.91999999999973</v>
      </c>
    </row>
    <row r="14" spans="1:9" x14ac:dyDescent="0.2">
      <c r="A14" s="165" t="s">
        <v>419</v>
      </c>
      <c r="B14" s="165">
        <v>100</v>
      </c>
      <c r="C14" s="165">
        <f>B14</f>
        <v>100</v>
      </c>
    </row>
    <row r="15" spans="1:9" x14ac:dyDescent="0.2">
      <c r="A15" s="165" t="s">
        <v>509</v>
      </c>
      <c r="B15" s="165">
        <v>200</v>
      </c>
      <c r="C15" s="165">
        <f>B15</f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0.5*22+20</f>
        <v>31</v>
      </c>
      <c r="C18" s="147">
        <f>0.5*G2+20</f>
        <v>29.5</v>
      </c>
      <c r="E18" s="147"/>
    </row>
    <row r="19" spans="1:14" x14ac:dyDescent="0.2">
      <c r="A19" s="147" t="s">
        <v>430</v>
      </c>
      <c r="B19" s="147">
        <f>8.5*22</f>
        <v>187</v>
      </c>
      <c r="C19" s="147">
        <f>8.5*G2</f>
        <v>161.5</v>
      </c>
      <c r="D19" s="147"/>
      <c r="E19" s="147" t="s">
        <v>486</v>
      </c>
      <c r="F19" s="147">
        <v>56.5</v>
      </c>
      <c r="G19" s="147"/>
      <c r="H19" s="147" t="s">
        <v>480</v>
      </c>
      <c r="I19" s="147">
        <v>62</v>
      </c>
      <c r="N19" s="145"/>
    </row>
    <row r="20" spans="1:14" x14ac:dyDescent="0.2">
      <c r="A20" s="147" t="s">
        <v>431</v>
      </c>
      <c r="B20" s="147">
        <f>4*22</f>
        <v>88</v>
      </c>
      <c r="C20" s="147">
        <v>0</v>
      </c>
      <c r="D20" s="147"/>
      <c r="E20" s="147" t="s">
        <v>478</v>
      </c>
      <c r="F20" s="147">
        <v>22</v>
      </c>
      <c r="G20" s="147"/>
      <c r="H20" s="147" t="s">
        <v>479</v>
      </c>
      <c r="I20" s="147">
        <v>22</v>
      </c>
      <c r="N20" s="145"/>
    </row>
    <row r="21" spans="1:14" x14ac:dyDescent="0.2">
      <c r="A21" s="147" t="s">
        <v>87</v>
      </c>
      <c r="B21" s="147">
        <f>(0.7)*22+(2.5/2)*22   +  (2.5/2)*22+(1.7)*22</f>
        <v>107.80000000000001</v>
      </c>
      <c r="C21" s="147">
        <f>(0.7)*G2+(2.5/2)*G2   +  (2.5/2)*G2+(1.7)*G2</f>
        <v>93.1</v>
      </c>
      <c r="D21" s="147"/>
      <c r="E21" s="147"/>
      <c r="F21" s="147"/>
      <c r="G21" s="147"/>
      <c r="H21" s="146" t="s">
        <v>487</v>
      </c>
      <c r="I21" s="146">
        <f>-(151-56.5)</f>
        <v>-94.5</v>
      </c>
      <c r="N21" s="145"/>
    </row>
    <row r="22" spans="1:14" x14ac:dyDescent="0.2">
      <c r="A22" s="147" t="s">
        <v>89</v>
      </c>
      <c r="B22" s="147">
        <f>5*22</f>
        <v>110</v>
      </c>
      <c r="C22" s="147">
        <f>5*G2</f>
        <v>95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70" t="s">
        <v>246</v>
      </c>
      <c r="F24" s="170">
        <f>SUM(F19:F21)</f>
        <v>78.5</v>
      </c>
      <c r="G24" s="170"/>
      <c r="H24" s="170" t="s">
        <v>246</v>
      </c>
      <c r="I24" s="170">
        <f>SUM(I19:I21)</f>
        <v>-10.5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E30" s="146">
        <f>583-224.7-100</f>
        <v>258.3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46" t="s">
        <v>395</v>
      </c>
      <c r="B34" s="146">
        <v>40</v>
      </c>
      <c r="C34" s="147">
        <v>30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C35" s="147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3477.4268790000001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224.70000000000027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3702.1268790000004</v>
      </c>
      <c r="C39" s="160"/>
      <c r="G39" s="146">
        <f>SUM(G37:G38)</f>
        <v>20000</v>
      </c>
    </row>
    <row r="40" spans="1:11" x14ac:dyDescent="0.2">
      <c r="A40" s="156"/>
      <c r="B40" s="157">
        <f>B39</f>
        <v>3702.1268790000004</v>
      </c>
      <c r="C40" s="158"/>
      <c r="E40" s="146">
        <f>B37-E38</f>
        <v>-38.299999999999727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-502.29999999999973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4"/>
  <sheetViews>
    <sheetView workbookViewId="0">
      <selection activeCell="B19" sqref="B19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22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v>0</v>
      </c>
      <c r="C5" s="165">
        <v>0</v>
      </c>
      <c r="F5" s="145" t="s">
        <v>475</v>
      </c>
    </row>
    <row r="6" spans="1:9" x14ac:dyDescent="0.2">
      <c r="A6" s="165" t="s">
        <v>216</v>
      </c>
      <c r="B6" s="165">
        <v>0</v>
      </c>
      <c r="C6" s="165">
        <v>0</v>
      </c>
      <c r="D6" s="149"/>
      <c r="E6" s="145"/>
      <c r="F6" s="145">
        <f>B14+B15+B16+B30</f>
        <v>710.52687900000001</v>
      </c>
      <c r="H6" s="145"/>
    </row>
    <row r="7" spans="1:9" x14ac:dyDescent="0.2">
      <c r="A7" s="165" t="s">
        <v>512</v>
      </c>
      <c r="B7" s="165">
        <v>0</v>
      </c>
      <c r="C7" s="165">
        <v>0</v>
      </c>
      <c r="D7" s="149"/>
      <c r="E7" s="145"/>
      <c r="F7" s="145"/>
      <c r="H7" s="145"/>
    </row>
    <row r="8" spans="1:9" x14ac:dyDescent="0.2">
      <c r="A8" s="165" t="s">
        <v>171</v>
      </c>
      <c r="B8" s="165">
        <v>50</v>
      </c>
      <c r="C8" s="165">
        <f>B8</f>
        <v>50</v>
      </c>
      <c r="E8" s="145"/>
      <c r="F8" s="146">
        <v>-320</v>
      </c>
      <c r="H8" s="145"/>
      <c r="I8" s="145"/>
    </row>
    <row r="9" spans="1:9" x14ac:dyDescent="0.2">
      <c r="A9" s="165" t="s">
        <v>211</v>
      </c>
      <c r="B9" s="165">
        <v>85</v>
      </c>
      <c r="C9" s="165">
        <f>B9</f>
        <v>85</v>
      </c>
      <c r="D9" s="150"/>
      <c r="E9" s="146">
        <v>2153.4</v>
      </c>
      <c r="F9" s="145">
        <v>-56.5</v>
      </c>
    </row>
    <row r="10" spans="1:9" x14ac:dyDescent="0.2">
      <c r="A10" s="165" t="s">
        <v>186</v>
      </c>
      <c r="B10" s="165">
        <v>0</v>
      </c>
      <c r="C10" s="165">
        <v>0</v>
      </c>
      <c r="D10" s="150"/>
      <c r="E10" s="147">
        <v>-149</v>
      </c>
      <c r="F10" s="145">
        <f>SUM(F6:F9)</f>
        <v>334.02687900000001</v>
      </c>
    </row>
    <row r="11" spans="1:9" x14ac:dyDescent="0.2">
      <c r="A11" s="165" t="s">
        <v>13</v>
      </c>
      <c r="B11" s="165">
        <v>170.89</v>
      </c>
      <c r="C11" s="165">
        <f>B11</f>
        <v>170.89</v>
      </c>
      <c r="E11" s="147"/>
      <c r="H11" s="147"/>
    </row>
    <row r="12" spans="1:9" x14ac:dyDescent="0.2">
      <c r="A12" s="165" t="s">
        <v>423</v>
      </c>
      <c r="B12" s="165">
        <v>83.13</v>
      </c>
      <c r="C12" s="165">
        <f>B12</f>
        <v>83.13</v>
      </c>
      <c r="E12" s="146">
        <f>SUM(E9:E11)</f>
        <v>2004.4</v>
      </c>
    </row>
    <row r="13" spans="1:9" x14ac:dyDescent="0.2">
      <c r="A13" s="165" t="s">
        <v>17</v>
      </c>
      <c r="B13" s="165">
        <v>12</v>
      </c>
      <c r="C13" s="165">
        <v>12</v>
      </c>
      <c r="H13" s="147"/>
    </row>
    <row r="14" spans="1:9" x14ac:dyDescent="0.2">
      <c r="A14" s="165" t="s">
        <v>26</v>
      </c>
      <c r="B14" s="165">
        <f>I44</f>
        <v>325.52687900000001</v>
      </c>
      <c r="C14" s="165">
        <f>B14</f>
        <v>325.52687900000001</v>
      </c>
      <c r="E14" s="146">
        <f>B39-660.62</f>
        <v>-622.21999999999991</v>
      </c>
    </row>
    <row r="15" spans="1:9" x14ac:dyDescent="0.2">
      <c r="A15" s="165" t="s">
        <v>419</v>
      </c>
      <c r="B15" s="165">
        <v>100</v>
      </c>
      <c r="C15" s="165">
        <f>B15</f>
        <v>100</v>
      </c>
    </row>
    <row r="16" spans="1:9" x14ac:dyDescent="0.2">
      <c r="A16" s="165" t="s">
        <v>510</v>
      </c>
      <c r="B16" s="165">
        <v>200</v>
      </c>
      <c r="C16" s="165">
        <f>B16</f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 t="s">
        <v>476</v>
      </c>
      <c r="H18" s="146" t="s">
        <v>477</v>
      </c>
    </row>
    <row r="19" spans="1:14" x14ac:dyDescent="0.2">
      <c r="A19" s="147" t="s">
        <v>291</v>
      </c>
      <c r="B19" s="147">
        <f>0.5*H2+20</f>
        <v>31</v>
      </c>
      <c r="C19" s="147">
        <f>0.5*G2+20</f>
        <v>30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170</v>
      </c>
      <c r="D20" s="147"/>
      <c r="E20" s="147" t="s">
        <v>486</v>
      </c>
      <c r="F20" s="147">
        <v>56.5</v>
      </c>
      <c r="G20" s="147"/>
      <c r="H20" s="147" t="s">
        <v>480</v>
      </c>
      <c r="I20" s="147">
        <v>62</v>
      </c>
      <c r="N20" s="145"/>
    </row>
    <row r="21" spans="1:14" x14ac:dyDescent="0.2">
      <c r="A21" s="165" t="s">
        <v>431</v>
      </c>
      <c r="B21" s="165">
        <f>4*H2</f>
        <v>88</v>
      </c>
      <c r="C21" s="165">
        <f>B21</f>
        <v>88</v>
      </c>
      <c r="D21" s="147"/>
      <c r="E21" s="147" t="s">
        <v>478</v>
      </c>
      <c r="F21" s="147">
        <v>22</v>
      </c>
      <c r="G21" s="147"/>
      <c r="H21" s="147" t="s">
        <v>479</v>
      </c>
      <c r="I21" s="147">
        <v>22</v>
      </c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104</v>
      </c>
      <c r="D22" s="147"/>
      <c r="E22" s="147"/>
      <c r="F22" s="147"/>
      <c r="G22" s="147"/>
      <c r="H22" s="146" t="s">
        <v>487</v>
      </c>
      <c r="I22" s="146">
        <f>-(151-56.5)</f>
        <v>-94.5</v>
      </c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100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 t="s">
        <v>246</v>
      </c>
      <c r="F25" s="151">
        <f>SUM(F20:F22)</f>
        <v>78.5</v>
      </c>
      <c r="G25" s="151"/>
      <c r="H25" s="151" t="s">
        <v>246</v>
      </c>
      <c r="I25" s="151">
        <f>SUM(I20:I22)</f>
        <v>-10.5</v>
      </c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0</v>
      </c>
      <c r="C27" s="165">
        <v>0</v>
      </c>
      <c r="E27" s="145"/>
      <c r="F27" s="145"/>
      <c r="G27" s="147"/>
      <c r="H27" s="147"/>
      <c r="I27" s="147"/>
      <c r="J27" s="147"/>
      <c r="K27" s="147"/>
    </row>
    <row r="28" spans="1:14" x14ac:dyDescent="0.2">
      <c r="A28" s="166" t="s">
        <v>166</v>
      </c>
      <c r="B28" s="165">
        <v>290.63</v>
      </c>
      <c r="C28" s="165">
        <f>B28</f>
        <v>290.63</v>
      </c>
      <c r="G28" s="147"/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46">
        <f>B39-48.25</f>
        <v>-9.8499999999999091</v>
      </c>
      <c r="G29" s="147"/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G30" s="147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>(12+2.5+8)*G3</f>
        <v>90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511</v>
      </c>
      <c r="B35" s="165">
        <v>197</v>
      </c>
      <c r="C35" s="165">
        <f>B35</f>
        <v>197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7" t="s">
        <v>395</v>
      </c>
      <c r="B36" s="167">
        <v>40</v>
      </c>
      <c r="C36" s="165">
        <v>40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ht="12" thickBot="1" x14ac:dyDescent="0.25">
      <c r="A38" s="146" t="s">
        <v>31</v>
      </c>
      <c r="B38" s="146">
        <f>SUM(C2:C36)</f>
        <v>2920.1768790000001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53" t="s">
        <v>24</v>
      </c>
      <c r="B39" s="154">
        <f>B41-B38</f>
        <v>38.400000000000091</v>
      </c>
      <c r="C39" s="155"/>
      <c r="G39" s="146">
        <v>15013</v>
      </c>
      <c r="J39" s="145">
        <f>(G39)/(G39+G40)</f>
        <v>0.75065000000000004</v>
      </c>
    </row>
    <row r="40" spans="1:11" x14ac:dyDescent="0.2">
      <c r="A40" s="156"/>
      <c r="B40" s="157"/>
      <c r="C40" s="158"/>
      <c r="E40" s="146">
        <v>263</v>
      </c>
      <c r="G40" s="146">
        <v>4987</v>
      </c>
      <c r="H40" s="157"/>
      <c r="I40" s="157"/>
    </row>
    <row r="41" spans="1:11" x14ac:dyDescent="0.2">
      <c r="A41" s="156" t="s">
        <v>20</v>
      </c>
      <c r="B41" s="159">
        <f>SUM(B2:B23)+SUM(B24:B36)</f>
        <v>2958.5768790000002</v>
      </c>
      <c r="C41" s="160"/>
      <c r="G41" s="146">
        <f>SUM(G39:G40)</f>
        <v>20000</v>
      </c>
    </row>
    <row r="42" spans="1:11" x14ac:dyDescent="0.2">
      <c r="A42" s="156"/>
      <c r="B42" s="157">
        <f>B41</f>
        <v>2958.5768790000002</v>
      </c>
      <c r="C42" s="158"/>
      <c r="E42" s="146">
        <f>B39-E40</f>
        <v>-224.59999999999991</v>
      </c>
      <c r="G42" s="146">
        <f>G39/B43</f>
        <v>5267.7192982456136</v>
      </c>
      <c r="I42" s="145"/>
    </row>
    <row r="43" spans="1:11" x14ac:dyDescent="0.2">
      <c r="A43" s="161"/>
      <c r="B43" s="157">
        <f>2.85</f>
        <v>2.85</v>
      </c>
      <c r="C43" s="158"/>
      <c r="D43" s="145"/>
      <c r="E43" s="148"/>
      <c r="I43" s="145" t="s">
        <v>34</v>
      </c>
    </row>
    <row r="44" spans="1:11" ht="12" thickBot="1" x14ac:dyDescent="0.25">
      <c r="A44" s="162"/>
      <c r="B44" s="163"/>
      <c r="C44" s="164"/>
      <c r="D44" s="145"/>
      <c r="E44" s="145"/>
      <c r="H44" s="146">
        <f>B14/2.8</f>
        <v>116.25959964285715</v>
      </c>
      <c r="I44" s="145">
        <f>433.66*(G39)/(G39+G40)</f>
        <v>325.52687900000001</v>
      </c>
    </row>
    <row r="45" spans="1:11" x14ac:dyDescent="0.2">
      <c r="D45" s="145">
        <f>B39-727</f>
        <v>-688.59999999999991</v>
      </c>
      <c r="E45" s="145"/>
      <c r="F45" s="145"/>
      <c r="I45" s="145"/>
    </row>
    <row r="46" spans="1:11" x14ac:dyDescent="0.2">
      <c r="D46" s="145"/>
      <c r="E46" s="145"/>
      <c r="F46" s="145"/>
      <c r="I46" s="146">
        <f>2200/B43</f>
        <v>771.92982456140351</v>
      </c>
    </row>
    <row r="47" spans="1:11" x14ac:dyDescent="0.2">
      <c r="E47" s="145"/>
    </row>
    <row r="48" spans="1:11" x14ac:dyDescent="0.2">
      <c r="E48" s="145"/>
      <c r="F48" s="145"/>
    </row>
    <row r="54" spans="1:1" x14ac:dyDescent="0.2">
      <c r="A54" s="145"/>
    </row>
  </sheetData>
  <pageMargins left="0.7" right="0.7" top="0.75" bottom="0.75" header="0.3" footer="0.3"/>
  <pageSetup orientation="portrait"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Normal="100" workbookViewId="0">
      <selection activeCell="B8" sqref="B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29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200</v>
      </c>
      <c r="F2" s="145" t="s">
        <v>473</v>
      </c>
      <c r="G2" s="146">
        <v>15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89</f>
        <v>89</v>
      </c>
      <c r="F3" s="145" t="s">
        <v>474</v>
      </c>
      <c r="G3" s="146">
        <v>3</v>
      </c>
    </row>
    <row r="4" spans="1:9" x14ac:dyDescent="0.2">
      <c r="A4" s="165" t="s">
        <v>534</v>
      </c>
      <c r="B4" s="165">
        <f>4+0.33*B42</f>
        <v>4.9405000000000001</v>
      </c>
      <c r="C4" s="165">
        <f>B4</f>
        <v>4.9405000000000001</v>
      </c>
      <c r="F4" s="145" t="s">
        <v>475</v>
      </c>
    </row>
    <row r="5" spans="1:9" x14ac:dyDescent="0.2">
      <c r="A5" s="165" t="s">
        <v>216</v>
      </c>
      <c r="B5" s="165">
        <v>216.86</v>
      </c>
      <c r="C5" s="165">
        <f>B5</f>
        <v>216.86</v>
      </c>
      <c r="D5" s="149"/>
      <c r="E5" s="145"/>
      <c r="F5" s="145">
        <f>B13+B14+B15+B29</f>
        <v>710.52687900000001</v>
      </c>
      <c r="H5" s="145"/>
    </row>
    <row r="6" spans="1:9" x14ac:dyDescent="0.2">
      <c r="A6" s="165" t="s">
        <v>535</v>
      </c>
      <c r="B6" s="165">
        <v>270.66000000000003</v>
      </c>
      <c r="C6" s="165">
        <f>B6</f>
        <v>270.66000000000003</v>
      </c>
      <c r="D6" s="149"/>
      <c r="E6" s="145"/>
      <c r="F6" s="145"/>
      <c r="H6" s="145">
        <v>140</v>
      </c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>
        <v>30</v>
      </c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F8" s="145">
        <v>-56.5</v>
      </c>
      <c r="H8" s="146">
        <v>20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/>
      <c r="F9" s="145">
        <f>SUM(F5:F8)</f>
        <v>334.02687900000001</v>
      </c>
      <c r="H9" s="146">
        <v>10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D10" s="146">
        <v>7191509</v>
      </c>
      <c r="E10" s="147"/>
      <c r="H10" s="147">
        <v>10</v>
      </c>
    </row>
    <row r="11" spans="1:9" x14ac:dyDescent="0.2">
      <c r="A11" s="165" t="s">
        <v>423</v>
      </c>
      <c r="B11" s="165">
        <v>82.65</v>
      </c>
      <c r="C11" s="165">
        <f>B11</f>
        <v>82.65</v>
      </c>
      <c r="H11" s="146">
        <v>20</v>
      </c>
    </row>
    <row r="12" spans="1:9" x14ac:dyDescent="0.2">
      <c r="A12" s="165" t="s">
        <v>17</v>
      </c>
      <c r="B12" s="165">
        <v>12</v>
      </c>
      <c r="C12" s="165">
        <v>0</v>
      </c>
      <c r="H12" s="147">
        <f>SUM(H6:H11)</f>
        <v>230</v>
      </c>
    </row>
    <row r="13" spans="1:9" x14ac:dyDescent="0.2">
      <c r="A13" s="165" t="s">
        <v>26</v>
      </c>
      <c r="B13" s="165">
        <f>I43</f>
        <v>325.52687900000001</v>
      </c>
      <c r="C13" s="165">
        <f>B13</f>
        <v>325.52687900000001</v>
      </c>
      <c r="E13" s="146">
        <f>B38-4700</f>
        <v>-4321.1000000000004</v>
      </c>
    </row>
    <row r="14" spans="1:9" x14ac:dyDescent="0.2">
      <c r="A14" s="165" t="s">
        <v>419</v>
      </c>
      <c r="B14" s="165">
        <v>100</v>
      </c>
      <c r="C14" s="165">
        <f t="shared" ref="C14:C15" si="0">B14</f>
        <v>100</v>
      </c>
    </row>
    <row r="15" spans="1:9" x14ac:dyDescent="0.2">
      <c r="A15" s="165" t="s">
        <v>536</v>
      </c>
      <c r="B15" s="165">
        <v>200</v>
      </c>
      <c r="C15" s="165">
        <f t="shared" si="0"/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f>B17</f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0.5*H2+20</f>
        <v>31</v>
      </c>
      <c r="C18" s="147">
        <f>0.5*G2+20</f>
        <v>27.5</v>
      </c>
      <c r="E18" s="147"/>
    </row>
    <row r="19" spans="1:14" x14ac:dyDescent="0.2">
      <c r="A19" s="147" t="s">
        <v>430</v>
      </c>
      <c r="B19" s="147">
        <f>8.5*H2</f>
        <v>187</v>
      </c>
      <c r="C19" s="147">
        <f>8.5*G2</f>
        <v>127.5</v>
      </c>
      <c r="D19" s="147"/>
      <c r="E19" s="147"/>
      <c r="F19" s="147"/>
      <c r="G19" s="147"/>
      <c r="H19" s="147"/>
      <c r="I19" s="147"/>
      <c r="N19" s="145"/>
    </row>
    <row r="20" spans="1:14" x14ac:dyDescent="0.2">
      <c r="A20" s="165" t="s">
        <v>431</v>
      </c>
      <c r="B20" s="165">
        <v>74</v>
      </c>
      <c r="C20" s="165">
        <f>B20</f>
        <v>74</v>
      </c>
      <c r="D20" s="147"/>
      <c r="E20" s="147" t="s">
        <v>478</v>
      </c>
      <c r="F20" s="147">
        <v>22</v>
      </c>
      <c r="G20" s="147"/>
      <c r="H20" s="147"/>
      <c r="I20" s="147"/>
      <c r="N20" s="145"/>
    </row>
    <row r="21" spans="1:14" x14ac:dyDescent="0.2">
      <c r="A21" s="147" t="s">
        <v>87</v>
      </c>
      <c r="B21" s="147">
        <f>(1)*H2+(2.5/2)*H2   +  (2.5/2)*H2+(1.7)*H2</f>
        <v>114.4</v>
      </c>
      <c r="C21" s="147">
        <f>(1)*G2+(2.5/2)*G2   +  (2.5/2)*G2+(1.7)*G2</f>
        <v>78</v>
      </c>
      <c r="D21" s="147"/>
      <c r="E21" s="147"/>
      <c r="F21" s="147"/>
      <c r="G21" s="147"/>
      <c r="N21" s="145"/>
    </row>
    <row r="22" spans="1:14" x14ac:dyDescent="0.2">
      <c r="A22" s="147" t="s">
        <v>89</v>
      </c>
      <c r="B22" s="147">
        <f>5*H2</f>
        <v>110</v>
      </c>
      <c r="C22" s="147">
        <f>5*G2</f>
        <v>75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>
        <v>0</v>
      </c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51" t="s">
        <v>246</v>
      </c>
      <c r="F24" s="151">
        <f>SUM(F19:F21)</f>
        <v>22</v>
      </c>
      <c r="G24" s="151"/>
      <c r="H24" s="151" t="s">
        <v>246</v>
      </c>
      <c r="I24" s="151">
        <f>SUM(I19:I21)</f>
        <v>0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320</v>
      </c>
      <c r="C26" s="165">
        <f>B26</f>
        <v>320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300.5</v>
      </c>
      <c r="C27" s="165">
        <f>B27</f>
        <v>300.5</v>
      </c>
      <c r="D27" s="146" t="s">
        <v>538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0</v>
      </c>
      <c r="C32" s="165">
        <v>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52" t="s">
        <v>429</v>
      </c>
      <c r="B33" s="147">
        <f>(12+2.5+8)*4</f>
        <v>90</v>
      </c>
      <c r="C33" s="147">
        <f>(12+2.5+8)*G3</f>
        <v>67.5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537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46" t="s">
        <v>395</v>
      </c>
      <c r="B35" s="146">
        <v>40</v>
      </c>
      <c r="C35" s="147">
        <v>30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C36" s="147">
        <v>0</v>
      </c>
      <c r="D36" s="147"/>
      <c r="E36" s="147">
        <f>B38-196</f>
        <v>182.90000000000009</v>
      </c>
      <c r="F36" s="147"/>
      <c r="G36" s="147"/>
      <c r="H36" s="147"/>
      <c r="I36" s="147"/>
      <c r="J36" s="147"/>
      <c r="K36" s="147"/>
    </row>
    <row r="37" spans="1:11" ht="12" thickBot="1" x14ac:dyDescent="0.25">
      <c r="A37" s="146" t="s">
        <v>31</v>
      </c>
      <c r="B37" s="146">
        <f>SUM(C2:C35)</f>
        <v>3387.5273790000001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53" t="s">
        <v>24</v>
      </c>
      <c r="B38" s="154">
        <f>B40-B37</f>
        <v>378.90000000000009</v>
      </c>
      <c r="C38" s="155"/>
      <c r="G38" s="146">
        <v>15013</v>
      </c>
      <c r="J38" s="145">
        <f>(G38)/(G38+G39)</f>
        <v>0.75065000000000004</v>
      </c>
    </row>
    <row r="39" spans="1:11" x14ac:dyDescent="0.2">
      <c r="A39" s="156"/>
      <c r="B39" s="157"/>
      <c r="C39" s="158"/>
      <c r="G39" s="146">
        <v>4987</v>
      </c>
      <c r="H39" s="157"/>
      <c r="I39" s="157"/>
    </row>
    <row r="40" spans="1:11" x14ac:dyDescent="0.2">
      <c r="A40" s="156" t="s">
        <v>20</v>
      </c>
      <c r="B40" s="159">
        <f>SUM(B2:B22)+SUM(B23:B35)</f>
        <v>3766.4273790000002</v>
      </c>
      <c r="C40" s="160"/>
      <c r="G40" s="146">
        <f>SUM(G38:G39)</f>
        <v>20000</v>
      </c>
    </row>
    <row r="41" spans="1:11" x14ac:dyDescent="0.2">
      <c r="A41" s="156"/>
      <c r="B41" s="157">
        <f>B40</f>
        <v>3766.4273790000002</v>
      </c>
      <c r="C41" s="158"/>
      <c r="G41" s="146">
        <f>G38/B42</f>
        <v>5267.7192982456136</v>
      </c>
      <c r="I41" s="145"/>
    </row>
    <row r="42" spans="1:11" x14ac:dyDescent="0.2">
      <c r="A42" s="161"/>
      <c r="B42" s="157">
        <f>2.85</f>
        <v>2.85</v>
      </c>
      <c r="C42" s="158"/>
      <c r="D42" s="145"/>
      <c r="E42" s="148"/>
      <c r="I42" s="145" t="s">
        <v>34</v>
      </c>
    </row>
    <row r="43" spans="1:11" ht="12" thickBot="1" x14ac:dyDescent="0.25">
      <c r="A43" s="162"/>
      <c r="B43" s="163"/>
      <c r="C43" s="164"/>
      <c r="D43" s="145"/>
      <c r="E43" s="145"/>
      <c r="H43" s="146">
        <f>B13/2.8</f>
        <v>116.25959964285715</v>
      </c>
      <c r="I43" s="145">
        <f>433.66*(G38)/(G38+G39)</f>
        <v>325.52687900000001</v>
      </c>
    </row>
    <row r="44" spans="1:11" x14ac:dyDescent="0.2">
      <c r="D44" s="145"/>
      <c r="E44" s="145"/>
      <c r="F44" s="145"/>
      <c r="I44" s="145"/>
    </row>
    <row r="45" spans="1:11" x14ac:dyDescent="0.2">
      <c r="D45" s="145"/>
      <c r="E45" s="145"/>
      <c r="F45" s="145"/>
      <c r="I45" s="146">
        <f>2200/B42</f>
        <v>771.92982456140351</v>
      </c>
    </row>
    <row r="46" spans="1:11" x14ac:dyDescent="0.2">
      <c r="E46" s="145"/>
    </row>
    <row r="47" spans="1:11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8"/>
  <sheetViews>
    <sheetView zoomScaleNormal="100" workbookViewId="0">
      <selection activeCell="B9" sqref="B9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2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6.85546875" style="146" customWidth="1"/>
    <col min="14" max="16384" width="9.140625" style="146"/>
  </cols>
  <sheetData>
    <row r="1" spans="1:13" x14ac:dyDescent="0.2">
      <c r="A1" s="182" t="s">
        <v>33</v>
      </c>
      <c r="C1" s="146" t="s">
        <v>2</v>
      </c>
      <c r="D1" s="145"/>
      <c r="F1" s="148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22</v>
      </c>
      <c r="I2" s="148"/>
    </row>
    <row r="3" spans="1:13" x14ac:dyDescent="0.2">
      <c r="A3" s="165" t="s">
        <v>7</v>
      </c>
      <c r="B3" s="165">
        <v>89</v>
      </c>
      <c r="C3" s="165">
        <f t="shared" ref="C3:C9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47+7.51*B47</f>
        <v>72.158500000000004</v>
      </c>
      <c r="C4" s="165">
        <f t="shared" si="0"/>
        <v>72.158500000000004</v>
      </c>
    </row>
    <row r="5" spans="1:13" x14ac:dyDescent="0.2">
      <c r="A5" s="165" t="s">
        <v>216</v>
      </c>
      <c r="B5" s="165">
        <v>118.7</v>
      </c>
      <c r="C5" s="165">
        <f t="shared" si="0"/>
        <v>118.7</v>
      </c>
      <c r="D5" s="149"/>
      <c r="E5" s="145"/>
      <c r="F5" s="145"/>
      <c r="H5" s="145"/>
      <c r="J5" s="167"/>
      <c r="K5" s="146">
        <v>79.7</v>
      </c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 t="s">
        <v>561</v>
      </c>
      <c r="G6" s="76">
        <v>90</v>
      </c>
      <c r="H6" s="145">
        <v>2734</v>
      </c>
      <c r="K6" s="146">
        <v>278.89999999999998</v>
      </c>
    </row>
    <row r="7" spans="1:13" x14ac:dyDescent="0.2">
      <c r="A7" s="165" t="s">
        <v>542</v>
      </c>
      <c r="B7" s="165">
        <v>270.66000000000003</v>
      </c>
      <c r="C7" s="165">
        <f t="shared" si="0"/>
        <v>270.66000000000003</v>
      </c>
      <c r="D7" s="149"/>
      <c r="E7" s="145"/>
      <c r="F7" s="169" t="s">
        <v>562</v>
      </c>
      <c r="G7" s="167">
        <v>80</v>
      </c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 t="s">
        <v>563</v>
      </c>
      <c r="G8" s="146">
        <v>100</v>
      </c>
      <c r="H8" s="145"/>
      <c r="I8" s="145"/>
    </row>
    <row r="9" spans="1:13" x14ac:dyDescent="0.2">
      <c r="A9" s="165" t="s">
        <v>211</v>
      </c>
      <c r="B9" s="165">
        <v>85</v>
      </c>
      <c r="C9" s="165">
        <f t="shared" si="0"/>
        <v>85</v>
      </c>
      <c r="D9" s="150"/>
      <c r="F9" s="167" t="s">
        <v>564</v>
      </c>
      <c r="G9" s="167">
        <v>100</v>
      </c>
      <c r="J9" s="167"/>
    </row>
    <row r="10" spans="1:13" x14ac:dyDescent="0.2">
      <c r="A10" s="165" t="s">
        <v>186</v>
      </c>
      <c r="B10" s="165">
        <v>68</v>
      </c>
      <c r="C10" s="165">
        <f>B10</f>
        <v>68</v>
      </c>
      <c r="D10" s="150"/>
      <c r="E10" s="147"/>
      <c r="F10" s="169" t="s">
        <v>565</v>
      </c>
      <c r="G10" s="167">
        <v>100</v>
      </c>
    </row>
    <row r="11" spans="1:13" x14ac:dyDescent="0.2">
      <c r="A11" s="165" t="s">
        <v>13</v>
      </c>
      <c r="B11" s="165">
        <v>170.89</v>
      </c>
      <c r="C11" s="165">
        <f>B11</f>
        <v>170.89</v>
      </c>
      <c r="E11" s="147"/>
      <c r="F11" s="145"/>
      <c r="H11" s="147"/>
      <c r="L11" s="146">
        <v>142.84</v>
      </c>
    </row>
    <row r="12" spans="1:13" x14ac:dyDescent="0.2">
      <c r="A12" s="165" t="s">
        <v>548</v>
      </c>
      <c r="B12" s="165">
        <v>49</v>
      </c>
      <c r="C12" s="165">
        <f>B12</f>
        <v>49</v>
      </c>
      <c r="I12" s="146">
        <f>B43-268</f>
        <v>-200.40000000000055</v>
      </c>
      <c r="L12" s="146">
        <v>50</v>
      </c>
    </row>
    <row r="13" spans="1:13" x14ac:dyDescent="0.2">
      <c r="A13" s="165" t="s">
        <v>17</v>
      </c>
      <c r="B13" s="165">
        <v>12</v>
      </c>
      <c r="C13" s="165">
        <f>B13</f>
        <v>12</v>
      </c>
      <c r="L13" s="147"/>
    </row>
    <row r="14" spans="1:13" x14ac:dyDescent="0.2">
      <c r="A14" s="165" t="s">
        <v>26</v>
      </c>
      <c r="B14" s="165">
        <f>I48</f>
        <v>325.52687900000001</v>
      </c>
      <c r="C14" s="165">
        <f>B14</f>
        <v>325.52687900000001</v>
      </c>
      <c r="G14" s="146">
        <f>B43+60</f>
        <v>127.59999999999945</v>
      </c>
    </row>
    <row r="15" spans="1:13" x14ac:dyDescent="0.2">
      <c r="A15" s="165" t="s">
        <v>419</v>
      </c>
      <c r="B15" s="165">
        <v>100</v>
      </c>
      <c r="C15" s="165">
        <f t="shared" ref="C15:C16" si="1">B15</f>
        <v>100</v>
      </c>
      <c r="L15" s="167">
        <f>L11+L12</f>
        <v>192.84</v>
      </c>
      <c r="M15" s="194"/>
    </row>
    <row r="16" spans="1:13" x14ac:dyDescent="0.2">
      <c r="A16" s="165" t="s">
        <v>543</v>
      </c>
      <c r="B16" s="165">
        <v>200</v>
      </c>
      <c r="C16" s="165">
        <f t="shared" si="1"/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  <c r="L17" s="146">
        <f>B43-L15</f>
        <v>-125.24000000000055</v>
      </c>
    </row>
    <row r="18" spans="1:14" x14ac:dyDescent="0.2">
      <c r="A18" s="165" t="s">
        <v>84</v>
      </c>
      <c r="B18" s="165">
        <v>160</v>
      </c>
      <c r="C18" s="165">
        <v>160</v>
      </c>
      <c r="E18" s="147"/>
    </row>
    <row r="19" spans="1:14" x14ac:dyDescent="0.2">
      <c r="A19" s="147" t="s">
        <v>291</v>
      </c>
      <c r="B19" s="147">
        <f>0.5*H2+20</f>
        <v>31</v>
      </c>
      <c r="C19" s="147">
        <f>0.5*G2+20</f>
        <v>29.5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161.5</v>
      </c>
      <c r="D20" s="147"/>
      <c r="E20" s="147"/>
      <c r="H20" s="147"/>
      <c r="I20" s="147"/>
      <c r="N20" s="145"/>
    </row>
    <row r="21" spans="1:14" x14ac:dyDescent="0.2">
      <c r="A21" s="165" t="s">
        <v>431</v>
      </c>
      <c r="B21" s="165">
        <v>74</v>
      </c>
      <c r="C21" s="165">
        <f>B21</f>
        <v>74</v>
      </c>
      <c r="D21" s="147"/>
      <c r="E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98.8</v>
      </c>
      <c r="D22" s="147"/>
      <c r="E22" s="147"/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95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83" t="s">
        <v>555</v>
      </c>
      <c r="G26" s="184">
        <v>50</v>
      </c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85" t="s">
        <v>556</v>
      </c>
      <c r="G27" s="186">
        <v>50</v>
      </c>
      <c r="H27" s="147"/>
      <c r="I27" s="147"/>
      <c r="J27" s="147"/>
      <c r="K27" s="147"/>
    </row>
    <row r="28" spans="1:14" x14ac:dyDescent="0.2">
      <c r="A28" s="166" t="s">
        <v>166</v>
      </c>
      <c r="B28" s="165">
        <v>300.5</v>
      </c>
      <c r="C28" s="165">
        <f>B28</f>
        <v>300.5</v>
      </c>
      <c r="D28" s="146" t="s">
        <v>538</v>
      </c>
      <c r="F28" s="185" t="s">
        <v>557</v>
      </c>
      <c r="G28" s="186">
        <v>50</v>
      </c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87" t="s">
        <v>558</v>
      </c>
      <c r="G29" s="186">
        <v>59.6</v>
      </c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F30" s="187"/>
      <c r="G30" s="186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F31" s="188" t="s">
        <v>560</v>
      </c>
      <c r="G31" s="189">
        <v>209.6</v>
      </c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F32" s="190"/>
      <c r="G32" s="191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87" t="s">
        <v>559</v>
      </c>
      <c r="G33" s="192">
        <v>168.9</v>
      </c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 t="shared" ref="C34:C39" si="2">B34</f>
        <v>90</v>
      </c>
      <c r="D34" s="147"/>
      <c r="E34" s="147"/>
      <c r="F34" s="188"/>
      <c r="G34" s="193"/>
      <c r="H34" s="147"/>
      <c r="I34" s="147"/>
      <c r="J34" s="147"/>
      <c r="K34" s="147"/>
    </row>
    <row r="35" spans="1:11" x14ac:dyDescent="0.2">
      <c r="A35" s="166" t="s">
        <v>544</v>
      </c>
      <c r="B35" s="165">
        <v>197</v>
      </c>
      <c r="C35" s="165">
        <f t="shared" si="2"/>
        <v>197</v>
      </c>
      <c r="D35" s="147"/>
      <c r="E35" s="147"/>
      <c r="F35" s="168" t="s">
        <v>233</v>
      </c>
      <c r="G35" s="168">
        <f>G31+G33</f>
        <v>378.5</v>
      </c>
      <c r="H35" s="147"/>
      <c r="I35" s="147"/>
      <c r="J35" s="147"/>
      <c r="K35" s="147"/>
    </row>
    <row r="36" spans="1:11" x14ac:dyDescent="0.2">
      <c r="A36" s="166" t="s">
        <v>545</v>
      </c>
      <c r="B36" s="165">
        <v>200</v>
      </c>
      <c r="C36" s="165">
        <f t="shared" si="2"/>
        <v>200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546</v>
      </c>
      <c r="B37" s="165">
        <f>G8+G6</f>
        <v>190</v>
      </c>
      <c r="C37" s="165">
        <f t="shared" si="2"/>
        <v>190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 t="s">
        <v>546</v>
      </c>
      <c r="B38" s="165">
        <v>500</v>
      </c>
      <c r="C38" s="165">
        <f t="shared" si="2"/>
        <v>500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 t="shared" si="2"/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ht="12" thickBot="1" x14ac:dyDescent="0.25">
      <c r="A42" s="146" t="s">
        <v>31</v>
      </c>
      <c r="B42" s="146">
        <f>SUM(C2:C40)</f>
        <v>4806.1353790000003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</row>
    <row r="43" spans="1:11" x14ac:dyDescent="0.2">
      <c r="A43" s="153" t="s">
        <v>24</v>
      </c>
      <c r="B43" s="154">
        <f>B45-B42</f>
        <v>67.599999999999454</v>
      </c>
      <c r="C43" s="155"/>
      <c r="G43" s="146">
        <v>15013</v>
      </c>
      <c r="J43" s="145">
        <f>(G43)/(G43+G44)</f>
        <v>0.75065000000000004</v>
      </c>
    </row>
    <row r="44" spans="1:11" x14ac:dyDescent="0.2">
      <c r="A44" s="156"/>
      <c r="B44" s="157"/>
      <c r="C44" s="158"/>
      <c r="G44" s="146">
        <v>4987</v>
      </c>
      <c r="H44" s="157"/>
      <c r="I44" s="157"/>
    </row>
    <row r="45" spans="1:11" x14ac:dyDescent="0.2">
      <c r="A45" s="156" t="s">
        <v>20</v>
      </c>
      <c r="B45" s="159">
        <f>SUM(B2:B23)+SUM(B24:B40)</f>
        <v>4873.7353789999997</v>
      </c>
      <c r="C45" s="160"/>
      <c r="G45" s="146">
        <f>SUM(G43:G44)</f>
        <v>20000</v>
      </c>
    </row>
    <row r="46" spans="1:11" x14ac:dyDescent="0.2">
      <c r="A46" s="156"/>
      <c r="B46" s="157">
        <f>B45</f>
        <v>4873.7353789999997</v>
      </c>
      <c r="C46" s="158"/>
      <c r="G46" s="146">
        <f>G43/B47</f>
        <v>4481.4925373134329</v>
      </c>
      <c r="I46" s="145"/>
    </row>
    <row r="47" spans="1:11" x14ac:dyDescent="0.2">
      <c r="A47" s="161"/>
      <c r="B47" s="157">
        <f>3.35</f>
        <v>3.35</v>
      </c>
      <c r="C47" s="158"/>
      <c r="D47" s="145"/>
      <c r="E47" s="148"/>
      <c r="I47" s="145" t="s">
        <v>34</v>
      </c>
    </row>
    <row r="48" spans="1:11" ht="12" thickBot="1" x14ac:dyDescent="0.25">
      <c r="A48" s="162"/>
      <c r="B48" s="163"/>
      <c r="C48" s="164"/>
      <c r="D48" s="145"/>
      <c r="E48" s="145"/>
      <c r="H48" s="146">
        <f>B14/2.8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656.71641791044772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4294967295" verticalDpi="4294967295"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6"/>
  <sheetViews>
    <sheetView zoomScaleNormal="100" workbookViewId="0">
      <selection activeCell="A16" sqref="A16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37</v>
      </c>
      <c r="C1" s="146" t="s">
        <v>2</v>
      </c>
      <c r="D1" s="145"/>
      <c r="F1" s="148"/>
      <c r="M1" s="145" t="s">
        <v>578</v>
      </c>
    </row>
    <row r="2" spans="1:13" x14ac:dyDescent="0.2">
      <c r="A2" s="147" t="s">
        <v>4</v>
      </c>
      <c r="B2" s="147">
        <v>400</v>
      </c>
      <c r="C2" s="147">
        <v>350</v>
      </c>
      <c r="F2" s="145" t="s">
        <v>473</v>
      </c>
      <c r="G2" s="146">
        <v>18</v>
      </c>
      <c r="H2" s="146">
        <v>21</v>
      </c>
      <c r="I2" s="148"/>
      <c r="M2" s="167">
        <f>74-B41+447+100</f>
        <v>513.40000000000009</v>
      </c>
    </row>
    <row r="3" spans="1:13" x14ac:dyDescent="0.2">
      <c r="A3" s="165" t="s">
        <v>7</v>
      </c>
      <c r="B3" s="165">
        <f>89</f>
        <v>89</v>
      </c>
      <c r="C3" s="165">
        <f t="shared" ref="C3:C8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15.9+2*B45</f>
        <v>22.7</v>
      </c>
      <c r="C4" s="165">
        <f t="shared" si="0"/>
        <v>22.7</v>
      </c>
    </row>
    <row r="5" spans="1:13" x14ac:dyDescent="0.2">
      <c r="A5" s="165" t="s">
        <v>216</v>
      </c>
      <c r="B5" s="165">
        <v>196.8</v>
      </c>
      <c r="C5" s="165">
        <f t="shared" si="0"/>
        <v>196.8</v>
      </c>
      <c r="D5" s="149"/>
      <c r="E5" s="145"/>
      <c r="F5" s="145">
        <f>4700-B43</f>
        <v>870.58312100000057</v>
      </c>
      <c r="H5" s="145"/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/>
      <c r="H6" s="145"/>
    </row>
    <row r="7" spans="1:13" x14ac:dyDescent="0.2">
      <c r="A7" s="165" t="s">
        <v>551</v>
      </c>
      <c r="B7" s="165">
        <v>270.66000000000003</v>
      </c>
      <c r="C7" s="165">
        <f t="shared" si="0"/>
        <v>270.66000000000003</v>
      </c>
      <c r="D7" s="149"/>
      <c r="E7" s="145"/>
      <c r="F7" s="145"/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/>
      <c r="H8" s="145"/>
      <c r="I8" s="145"/>
    </row>
    <row r="9" spans="1:13" x14ac:dyDescent="0.2">
      <c r="A9" s="165" t="s">
        <v>211</v>
      </c>
      <c r="B9" s="165">
        <v>0</v>
      </c>
      <c r="C9" s="165">
        <v>0</v>
      </c>
      <c r="D9" s="150"/>
    </row>
    <row r="10" spans="1:13" x14ac:dyDescent="0.2">
      <c r="A10" s="165" t="s">
        <v>186</v>
      </c>
      <c r="B10" s="165">
        <v>0</v>
      </c>
      <c r="C10" s="165">
        <v>0</v>
      </c>
      <c r="D10" s="150"/>
      <c r="E10" s="147"/>
      <c r="F10" s="145"/>
      <c r="H10" s="146">
        <f>F5+1000</f>
        <v>1870.5831210000006</v>
      </c>
      <c r="J10" s="145" t="s">
        <v>576</v>
      </c>
      <c r="K10" s="146">
        <f>H10-F23</f>
        <v>1870.5831210000006</v>
      </c>
    </row>
    <row r="11" spans="1:13" x14ac:dyDescent="0.2">
      <c r="A11" s="165" t="s">
        <v>13</v>
      </c>
      <c r="B11" s="165">
        <v>170.89</v>
      </c>
      <c r="C11" s="165">
        <f t="shared" ref="C11:C16" si="1">B11</f>
        <v>170.89</v>
      </c>
      <c r="E11" s="147"/>
      <c r="F11" s="145"/>
      <c r="H11" s="147"/>
    </row>
    <row r="12" spans="1:13" x14ac:dyDescent="0.2">
      <c r="A12" s="165" t="s">
        <v>548</v>
      </c>
      <c r="B12" s="165">
        <v>82.74</v>
      </c>
      <c r="C12" s="165">
        <f t="shared" si="1"/>
        <v>82.74</v>
      </c>
      <c r="H12" s="146" t="s">
        <v>577</v>
      </c>
      <c r="J12" s="169" t="s">
        <v>579</v>
      </c>
      <c r="K12" s="167">
        <f>M2-F23</f>
        <v>513.40000000000009</v>
      </c>
    </row>
    <row r="13" spans="1:13" x14ac:dyDescent="0.2">
      <c r="A13" s="165" t="s">
        <v>17</v>
      </c>
      <c r="B13" s="165">
        <v>12</v>
      </c>
      <c r="C13" s="165">
        <f t="shared" si="1"/>
        <v>12</v>
      </c>
      <c r="F13" s="146" t="s">
        <v>571</v>
      </c>
      <c r="H13" s="147"/>
    </row>
    <row r="14" spans="1:13" x14ac:dyDescent="0.2">
      <c r="A14" s="165" t="s">
        <v>26</v>
      </c>
      <c r="B14" s="165">
        <f>I46</f>
        <v>325.52687900000001</v>
      </c>
      <c r="C14" s="165">
        <f t="shared" si="1"/>
        <v>325.52687900000001</v>
      </c>
      <c r="E14" s="167" t="s">
        <v>87</v>
      </c>
      <c r="F14" s="167">
        <f>130*2</f>
        <v>260</v>
      </c>
    </row>
    <row r="15" spans="1:13" x14ac:dyDescent="0.2">
      <c r="A15" s="165" t="s">
        <v>419</v>
      </c>
      <c r="B15" s="165">
        <v>100</v>
      </c>
      <c r="C15" s="165">
        <f t="shared" si="1"/>
        <v>100</v>
      </c>
      <c r="E15" s="167" t="s">
        <v>572</v>
      </c>
      <c r="F15" s="167">
        <f>177*B45</f>
        <v>601.79999999999995</v>
      </c>
      <c r="I15" s="146">
        <v>32</v>
      </c>
    </row>
    <row r="16" spans="1:13" x14ac:dyDescent="0.2">
      <c r="A16" s="165" t="s">
        <v>552</v>
      </c>
      <c r="B16" s="165">
        <v>200</v>
      </c>
      <c r="C16" s="165">
        <f t="shared" si="1"/>
        <v>200</v>
      </c>
      <c r="E16" s="167" t="s">
        <v>573</v>
      </c>
      <c r="F16" s="167">
        <v>400</v>
      </c>
      <c r="I16" s="146">
        <v>49.5</v>
      </c>
    </row>
    <row r="17" spans="1:14" x14ac:dyDescent="0.2">
      <c r="A17" s="165" t="s">
        <v>32</v>
      </c>
      <c r="B17" s="165">
        <v>0</v>
      </c>
      <c r="C17" s="165">
        <v>0</v>
      </c>
      <c r="E17" s="169" t="s">
        <v>574</v>
      </c>
      <c r="F17" s="167">
        <v>100</v>
      </c>
      <c r="H17" s="169" t="s">
        <v>583</v>
      </c>
      <c r="I17" s="169">
        <f>SUM(I15:I16)</f>
        <v>81.5</v>
      </c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/>
    </row>
    <row r="19" spans="1:14" x14ac:dyDescent="0.2">
      <c r="A19" s="147" t="s">
        <v>291</v>
      </c>
      <c r="B19" s="147">
        <f>0.5*H2+20</f>
        <v>30.5</v>
      </c>
      <c r="C19" s="147">
        <f>0.5*G2+20</f>
        <v>29</v>
      </c>
      <c r="E19" s="167" t="s">
        <v>575</v>
      </c>
      <c r="F19" s="167">
        <v>230</v>
      </c>
    </row>
    <row r="20" spans="1:14" x14ac:dyDescent="0.2">
      <c r="A20" s="147" t="s">
        <v>430</v>
      </c>
      <c r="B20" s="147">
        <f>8.5*H2</f>
        <v>178.5</v>
      </c>
      <c r="C20" s="147">
        <f>8.5*G2</f>
        <v>153</v>
      </c>
      <c r="D20" s="147"/>
      <c r="E20" s="165" t="s">
        <v>582</v>
      </c>
      <c r="F20" s="165">
        <v>90</v>
      </c>
      <c r="G20" s="147"/>
      <c r="H20" s="147"/>
      <c r="I20" s="147"/>
      <c r="N20" s="145"/>
    </row>
    <row r="21" spans="1:14" x14ac:dyDescent="0.2">
      <c r="A21" s="165" t="s">
        <v>431</v>
      </c>
      <c r="B21" s="165">
        <v>60</v>
      </c>
      <c r="C21" s="165">
        <f>B21</f>
        <v>60</v>
      </c>
      <c r="D21" s="147"/>
      <c r="E21" s="147"/>
      <c r="F21" s="147"/>
      <c r="G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109.19999999999999</v>
      </c>
      <c r="C22" s="147">
        <f>(1)*G2+(2.5/2)*G2   +  (2.5/2)*G2+(1.7)*G2</f>
        <v>93.6</v>
      </c>
      <c r="D22" s="147"/>
      <c r="E22" s="147"/>
      <c r="F22" s="147"/>
      <c r="G22" s="147"/>
      <c r="N22" s="145"/>
    </row>
    <row r="23" spans="1:14" x14ac:dyDescent="0.2">
      <c r="A23" s="147" t="s">
        <v>89</v>
      </c>
      <c r="B23" s="147">
        <f>5*H2</f>
        <v>105</v>
      </c>
      <c r="C23" s="147">
        <f>5*G2</f>
        <v>90</v>
      </c>
      <c r="D23" s="147"/>
      <c r="E23" s="165" t="s">
        <v>20</v>
      </c>
      <c r="F23" s="167">
        <v>0</v>
      </c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F25" s="151"/>
      <c r="G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>
        <v>89.9</v>
      </c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45">
        <v>10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D28" s="146" t="s">
        <v>538</v>
      </c>
      <c r="F28" s="146">
        <v>80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F29" s="167">
        <f>SUM(F26:F28)</f>
        <v>179.9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70</v>
      </c>
      <c r="C32" s="165">
        <f>B32</f>
        <v>70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553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545</v>
      </c>
      <c r="B35" s="165">
        <v>200</v>
      </c>
      <c r="C35" s="165">
        <f>B35</f>
        <v>200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/>
      <c r="B36" s="165"/>
      <c r="C36" s="165"/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547</v>
      </c>
      <c r="B37" s="165">
        <v>200</v>
      </c>
      <c r="C37" s="165">
        <v>200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7" t="s">
        <v>395</v>
      </c>
      <c r="B38" s="167">
        <v>40</v>
      </c>
      <c r="C38" s="165">
        <v>40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C39" s="147">
        <v>0</v>
      </c>
      <c r="D39" s="147"/>
      <c r="E39" s="147"/>
      <c r="F39" s="147"/>
      <c r="G39" s="147"/>
      <c r="H39" s="147"/>
      <c r="I39" s="147"/>
      <c r="J39" s="147"/>
      <c r="K39" s="147"/>
    </row>
    <row r="40" spans="1:11" ht="12" thickBot="1" x14ac:dyDescent="0.25">
      <c r="A40" s="146" t="s">
        <v>31</v>
      </c>
      <c r="B40" s="146">
        <f>SUM(C2:C38)</f>
        <v>3721.8168789999995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A41" s="153" t="s">
        <v>24</v>
      </c>
      <c r="B41" s="154">
        <f>B43-B40</f>
        <v>107.59999999999991</v>
      </c>
      <c r="C41" s="155"/>
      <c r="G41" s="146">
        <v>15013</v>
      </c>
      <c r="J41" s="145">
        <f>(G41)/(G41+G42)</f>
        <v>0.75065000000000004</v>
      </c>
    </row>
    <row r="42" spans="1:11" x14ac:dyDescent="0.2">
      <c r="A42" s="156"/>
      <c r="B42" s="157"/>
      <c r="C42" s="158"/>
      <c r="G42" s="146">
        <v>4987</v>
      </c>
      <c r="H42" s="157"/>
      <c r="I42" s="157"/>
    </row>
    <row r="43" spans="1:11" x14ac:dyDescent="0.2">
      <c r="A43" s="156" t="s">
        <v>20</v>
      </c>
      <c r="B43" s="159">
        <f>SUM(B2:B23)+SUM(B24:B38)</f>
        <v>3829.4168789999994</v>
      </c>
      <c r="C43" s="160"/>
      <c r="G43" s="146">
        <f>SUM(G41:G42)</f>
        <v>20000</v>
      </c>
    </row>
    <row r="44" spans="1:11" x14ac:dyDescent="0.2">
      <c r="A44" s="156"/>
      <c r="B44" s="157">
        <f>B43</f>
        <v>3829.4168789999994</v>
      </c>
      <c r="C44" s="158"/>
      <c r="G44" s="146">
        <f>G41/B45</f>
        <v>4415.588235294118</v>
      </c>
      <c r="I44" s="145"/>
    </row>
    <row r="45" spans="1:11" x14ac:dyDescent="0.2">
      <c r="A45" s="161"/>
      <c r="B45" s="157">
        <f>3.4</f>
        <v>3.4</v>
      </c>
      <c r="C45" s="158"/>
      <c r="D45" s="145"/>
      <c r="E45" s="148"/>
      <c r="I45" s="145" t="s">
        <v>34</v>
      </c>
    </row>
    <row r="46" spans="1:11" ht="12" thickBot="1" x14ac:dyDescent="0.25">
      <c r="A46" s="162"/>
      <c r="B46" s="163"/>
      <c r="C46" s="164"/>
      <c r="D46" s="145"/>
      <c r="E46" s="145"/>
      <c r="H46" s="146">
        <f>B14/2.8</f>
        <v>116.25959964285715</v>
      </c>
      <c r="I46" s="145">
        <f>433.66*(G41)/(G41+G42)</f>
        <v>325.52687900000001</v>
      </c>
    </row>
    <row r="47" spans="1:11" x14ac:dyDescent="0.2">
      <c r="D47" s="145"/>
      <c r="E47" s="145"/>
      <c r="F47" s="145"/>
      <c r="I47" s="145"/>
    </row>
    <row r="48" spans="1:11" x14ac:dyDescent="0.2">
      <c r="D48" s="145"/>
      <c r="E48" s="145"/>
      <c r="F48" s="145"/>
      <c r="I48" s="146">
        <f>2200/B45</f>
        <v>647.05882352941182</v>
      </c>
    </row>
    <row r="49" spans="1:6" x14ac:dyDescent="0.2">
      <c r="E49" s="145"/>
    </row>
    <row r="50" spans="1:6" x14ac:dyDescent="0.2">
      <c r="E50" s="145"/>
      <c r="F50" s="145"/>
    </row>
    <row r="56" spans="1:6" x14ac:dyDescent="0.2">
      <c r="A56" s="145"/>
    </row>
  </sheetData>
  <pageMargins left="0.7" right="0.7" top="0.75" bottom="0.75" header="0.3" footer="0.3"/>
  <pageSetup orientation="portrait" horizontalDpi="1200" verticalDpi="1200"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7"/>
  <sheetViews>
    <sheetView zoomScaleNormal="100" workbookViewId="0">
      <selection activeCell="A8" sqref="A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14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39</v>
      </c>
      <c r="C1" s="146" t="s">
        <v>2</v>
      </c>
      <c r="D1" s="145"/>
      <c r="F1" s="148"/>
      <c r="M1" s="145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20</v>
      </c>
      <c r="I2" s="148"/>
    </row>
    <row r="3" spans="1:13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200+2*B46</f>
        <v>207</v>
      </c>
      <c r="C4" s="165">
        <f>B4</f>
        <v>207</v>
      </c>
    </row>
    <row r="5" spans="1:13" x14ac:dyDescent="0.2">
      <c r="A5" s="165" t="s">
        <v>216</v>
      </c>
      <c r="B5" s="165">
        <f>5.5+(56.6*B46)</f>
        <v>203.6</v>
      </c>
      <c r="C5" s="165">
        <f>B5</f>
        <v>203.6</v>
      </c>
      <c r="D5" s="149"/>
      <c r="E5" s="145"/>
      <c r="F5" s="169"/>
      <c r="H5" s="145"/>
    </row>
    <row r="6" spans="1:13" x14ac:dyDescent="0.2">
      <c r="A6" s="165" t="s">
        <v>550</v>
      </c>
      <c r="B6" s="165">
        <v>5.46</v>
      </c>
      <c r="C6" s="165">
        <f>B6</f>
        <v>5.46</v>
      </c>
      <c r="D6" s="149"/>
      <c r="E6" s="145"/>
      <c r="F6" s="145"/>
      <c r="H6" s="145"/>
      <c r="I6" s="167"/>
    </row>
    <row r="7" spans="1:13" x14ac:dyDescent="0.2">
      <c r="A7" s="165" t="s">
        <v>597</v>
      </c>
      <c r="B7" s="165">
        <v>50</v>
      </c>
      <c r="C7" s="165">
        <v>50</v>
      </c>
      <c r="D7" s="149"/>
      <c r="E7" s="145"/>
      <c r="F7" s="145"/>
      <c r="H7" s="145"/>
      <c r="I7" s="167"/>
    </row>
    <row r="8" spans="1:13" x14ac:dyDescent="0.2">
      <c r="A8" s="165" t="s">
        <v>584</v>
      </c>
      <c r="B8" s="165">
        <v>270.66000000000003</v>
      </c>
      <c r="C8" s="165">
        <f>B8</f>
        <v>270.66000000000003</v>
      </c>
      <c r="D8" s="149"/>
      <c r="E8" s="145"/>
      <c r="F8" s="145"/>
      <c r="H8" s="145"/>
    </row>
    <row r="9" spans="1:13" x14ac:dyDescent="0.2">
      <c r="A9" s="165" t="s">
        <v>171</v>
      </c>
      <c r="B9" s="165">
        <v>50</v>
      </c>
      <c r="C9" s="165">
        <f>B9</f>
        <v>50</v>
      </c>
      <c r="E9" s="145"/>
      <c r="F9" s="145"/>
      <c r="H9" s="145"/>
      <c r="I9" s="145"/>
    </row>
    <row r="10" spans="1:13" x14ac:dyDescent="0.2">
      <c r="A10" s="165" t="s">
        <v>211</v>
      </c>
      <c r="B10" s="165">
        <v>140</v>
      </c>
      <c r="C10" s="165">
        <f>B10</f>
        <v>140</v>
      </c>
      <c r="D10" s="150"/>
    </row>
    <row r="11" spans="1:13" x14ac:dyDescent="0.2">
      <c r="A11" s="165" t="s">
        <v>186</v>
      </c>
      <c r="B11" s="165">
        <v>0</v>
      </c>
      <c r="C11" s="165">
        <v>0</v>
      </c>
      <c r="D11" s="150"/>
      <c r="E11" s="147"/>
      <c r="F11" s="145"/>
      <c r="J11" s="145"/>
    </row>
    <row r="12" spans="1:13" x14ac:dyDescent="0.2">
      <c r="A12" s="165" t="s">
        <v>13</v>
      </c>
      <c r="B12" s="165">
        <v>170.89</v>
      </c>
      <c r="C12" s="165">
        <f>B12</f>
        <v>170.89</v>
      </c>
      <c r="E12" s="147"/>
      <c r="F12" s="145"/>
      <c r="H12" s="147"/>
    </row>
    <row r="13" spans="1:13" x14ac:dyDescent="0.2">
      <c r="A13" s="165" t="s">
        <v>548</v>
      </c>
      <c r="B13" s="165">
        <v>77.349999999999994</v>
      </c>
      <c r="C13" s="165">
        <f>B13</f>
        <v>77.349999999999994</v>
      </c>
      <c r="J13" s="145"/>
    </row>
    <row r="14" spans="1:13" x14ac:dyDescent="0.2">
      <c r="A14" s="165" t="s">
        <v>585</v>
      </c>
      <c r="B14" s="165">
        <v>12</v>
      </c>
      <c r="C14" s="165">
        <v>12</v>
      </c>
      <c r="F14" s="167"/>
      <c r="H14" s="147"/>
    </row>
    <row r="15" spans="1:13" x14ac:dyDescent="0.2">
      <c r="A15" s="165" t="s">
        <v>26</v>
      </c>
      <c r="B15" s="165">
        <f>I47</f>
        <v>325.52687900000001</v>
      </c>
      <c r="C15" s="165">
        <f>+B15</f>
        <v>325.52687900000001</v>
      </c>
    </row>
    <row r="16" spans="1:13" x14ac:dyDescent="0.2">
      <c r="A16" s="165" t="s">
        <v>419</v>
      </c>
      <c r="B16" s="165">
        <v>100</v>
      </c>
      <c r="C16" s="165">
        <f t="shared" ref="C16:C19" si="0">+B16</f>
        <v>100</v>
      </c>
    </row>
    <row r="17" spans="1:14" x14ac:dyDescent="0.2">
      <c r="A17" s="165" t="s">
        <v>586</v>
      </c>
      <c r="B17" s="165">
        <v>200</v>
      </c>
      <c r="C17" s="165">
        <f t="shared" si="0"/>
        <v>200</v>
      </c>
    </row>
    <row r="18" spans="1:14" x14ac:dyDescent="0.2">
      <c r="A18" s="196" t="s">
        <v>286</v>
      </c>
      <c r="B18" s="165">
        <v>85</v>
      </c>
      <c r="C18" s="165">
        <f t="shared" si="0"/>
        <v>85</v>
      </c>
    </row>
    <row r="19" spans="1:14" x14ac:dyDescent="0.2">
      <c r="A19" s="196" t="s">
        <v>587</v>
      </c>
      <c r="B19" s="165">
        <f>(184+70)/4</f>
        <v>63.5</v>
      </c>
      <c r="C19" s="165">
        <f t="shared" si="0"/>
        <v>63.5</v>
      </c>
    </row>
    <row r="20" spans="1:14" x14ac:dyDescent="0.2">
      <c r="A20" s="165" t="s">
        <v>32</v>
      </c>
      <c r="B20" s="165">
        <v>0</v>
      </c>
      <c r="C20" s="165">
        <v>0</v>
      </c>
      <c r="E20" s="145"/>
      <c r="H20" s="145"/>
      <c r="I20" s="145"/>
    </row>
    <row r="21" spans="1:14" x14ac:dyDescent="0.2">
      <c r="A21" s="165" t="s">
        <v>84</v>
      </c>
      <c r="B21" s="165">
        <v>160</v>
      </c>
      <c r="C21" s="165">
        <f>B21</f>
        <v>160</v>
      </c>
      <c r="E21" s="147"/>
    </row>
    <row r="22" spans="1:14" x14ac:dyDescent="0.2">
      <c r="A22" s="165" t="s">
        <v>291</v>
      </c>
      <c r="B22" s="165">
        <f>0.5*H2+20</f>
        <v>30</v>
      </c>
      <c r="C22" s="165">
        <f>0.5*G2+20</f>
        <v>29.5</v>
      </c>
    </row>
    <row r="23" spans="1:14" x14ac:dyDescent="0.2">
      <c r="A23" s="165" t="s">
        <v>430</v>
      </c>
      <c r="B23" s="165">
        <f>8.5*H2</f>
        <v>170</v>
      </c>
      <c r="C23" s="165">
        <f>8.5*G2</f>
        <v>161.5</v>
      </c>
      <c r="D23" s="147"/>
      <c r="E23" s="147"/>
      <c r="F23" s="147"/>
      <c r="G23" s="147"/>
      <c r="H23" s="147"/>
      <c r="I23" s="147"/>
      <c r="N23" s="145"/>
    </row>
    <row r="24" spans="1:14" x14ac:dyDescent="0.2">
      <c r="A24" s="165" t="s">
        <v>431</v>
      </c>
      <c r="B24" s="165">
        <v>85.5</v>
      </c>
      <c r="C24" s="165">
        <f>B24</f>
        <v>85.5</v>
      </c>
      <c r="D24" s="147"/>
      <c r="E24" s="147"/>
      <c r="F24" s="147"/>
      <c r="G24" s="147"/>
      <c r="H24" s="147"/>
      <c r="I24" s="147"/>
      <c r="N24" s="145"/>
    </row>
    <row r="25" spans="1:14" x14ac:dyDescent="0.2">
      <c r="A25" s="165" t="s">
        <v>87</v>
      </c>
      <c r="B25" s="165">
        <f>(1)*H2+(2.5/2)*H2   +  (2.5/2)*H2+(1.7)*H2</f>
        <v>104</v>
      </c>
      <c r="C25" s="165">
        <f>(1)*G2+(2.5/2)*G2   +  (2.5/2)*G2+(1.7)*G2</f>
        <v>98.8</v>
      </c>
      <c r="D25" s="147"/>
      <c r="E25" s="147"/>
      <c r="F25" s="147"/>
      <c r="G25" s="147"/>
      <c r="N25" s="145"/>
    </row>
    <row r="26" spans="1:14" x14ac:dyDescent="0.2">
      <c r="A26" s="165" t="s">
        <v>89</v>
      </c>
      <c r="B26" s="165">
        <f>5*H2</f>
        <v>100</v>
      </c>
      <c r="C26" s="165">
        <f>5*G2</f>
        <v>95</v>
      </c>
      <c r="D26" s="147"/>
      <c r="E26" s="147"/>
      <c r="J26" s="147"/>
      <c r="K26" s="147"/>
      <c r="L26" s="147"/>
      <c r="N26" s="145"/>
    </row>
    <row r="27" spans="1:14" x14ac:dyDescent="0.2">
      <c r="A27" s="168" t="s">
        <v>61</v>
      </c>
      <c r="B27" s="165">
        <v>0</v>
      </c>
      <c r="C27" s="165">
        <v>0</v>
      </c>
      <c r="G27" s="147"/>
      <c r="H27" s="147"/>
      <c r="I27" s="147"/>
      <c r="J27" s="147"/>
      <c r="K27" s="147"/>
    </row>
    <row r="28" spans="1:14" x14ac:dyDescent="0.2">
      <c r="A28" s="168" t="s">
        <v>221</v>
      </c>
      <c r="B28" s="165">
        <v>0</v>
      </c>
      <c r="C28" s="165">
        <v>0</v>
      </c>
      <c r="E28" s="151"/>
      <c r="F28" s="151"/>
      <c r="G28" s="151"/>
      <c r="H28" s="151"/>
      <c r="I28" s="151"/>
      <c r="J28" s="147"/>
      <c r="K28" s="147"/>
    </row>
    <row r="29" spans="1:14" x14ac:dyDescent="0.2">
      <c r="A29" s="166" t="s">
        <v>112</v>
      </c>
      <c r="B29" s="165">
        <v>0</v>
      </c>
      <c r="C29" s="165">
        <v>0</v>
      </c>
      <c r="F29" s="145"/>
      <c r="G29" s="147"/>
      <c r="H29" s="147"/>
      <c r="I29" s="147"/>
      <c r="J29" s="147"/>
      <c r="K29" s="147"/>
    </row>
    <row r="30" spans="1:14" x14ac:dyDescent="0.2">
      <c r="A30" s="166" t="s">
        <v>218</v>
      </c>
      <c r="B30" s="165">
        <v>300</v>
      </c>
      <c r="C30" s="165">
        <f>B30</f>
        <v>300</v>
      </c>
      <c r="E30" s="145"/>
      <c r="F30" s="145"/>
      <c r="G30" s="147"/>
      <c r="H30" s="147"/>
      <c r="I30" s="147"/>
      <c r="J30" s="147"/>
      <c r="K30" s="147"/>
    </row>
    <row r="31" spans="1:14" x14ac:dyDescent="0.2">
      <c r="A31" s="166" t="s">
        <v>167</v>
      </c>
      <c r="B31" s="165">
        <v>50</v>
      </c>
      <c r="C31" s="165">
        <f>B31</f>
        <v>50</v>
      </c>
      <c r="D31" s="146" t="s">
        <v>538</v>
      </c>
      <c r="G31" s="147"/>
      <c r="H31" s="147"/>
      <c r="I31" s="151"/>
      <c r="J31" s="147"/>
      <c r="K31" s="147"/>
    </row>
    <row r="32" spans="1:14" x14ac:dyDescent="0.2">
      <c r="A32" s="166" t="s">
        <v>374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392</v>
      </c>
      <c r="B33" s="165">
        <v>0</v>
      </c>
      <c r="C33" s="165">
        <v>0</v>
      </c>
      <c r="G33" s="147"/>
      <c r="H33" s="147"/>
      <c r="I33" s="147"/>
      <c r="J33" s="147"/>
      <c r="K33" s="147"/>
    </row>
    <row r="34" spans="1:11" x14ac:dyDescent="0.2">
      <c r="A34" s="166" t="s">
        <v>428</v>
      </c>
      <c r="B34" s="165">
        <v>165</v>
      </c>
      <c r="C34" s="165">
        <f>B34</f>
        <v>165</v>
      </c>
      <c r="G34" s="147"/>
      <c r="H34" s="147"/>
      <c r="I34" s="147"/>
      <c r="J34" s="147"/>
      <c r="K34" s="147"/>
    </row>
    <row r="35" spans="1:11" x14ac:dyDescent="0.2">
      <c r="A35" s="166" t="s">
        <v>429</v>
      </c>
      <c r="B35" s="165">
        <f>(12+2.5+8)*4</f>
        <v>90</v>
      </c>
      <c r="C35" s="165">
        <f>(12+2.5+8)*G3</f>
        <v>90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 t="s">
        <v>591</v>
      </c>
      <c r="B36" s="165">
        <v>120</v>
      </c>
      <c r="C36" s="165">
        <f>B36</f>
        <v>120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588</v>
      </c>
      <c r="B37" s="165">
        <v>197</v>
      </c>
      <c r="C37" s="165">
        <f>B37</f>
        <v>197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/>
      <c r="B38" s="165"/>
      <c r="C38" s="165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>+B39</f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ht="12" thickBot="1" x14ac:dyDescent="0.25">
      <c r="A41" s="146" t="s">
        <v>31</v>
      </c>
      <c r="B41" s="146">
        <f>SUM(C2:C39)</f>
        <v>4222.2868790000002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x14ac:dyDescent="0.2">
      <c r="A42" s="153" t="s">
        <v>24</v>
      </c>
      <c r="B42" s="154">
        <f>B44-B41</f>
        <v>59.199999999999818</v>
      </c>
      <c r="C42" s="155"/>
      <c r="G42" s="146">
        <v>15013</v>
      </c>
      <c r="J42" s="145">
        <f>(G42)/(G42+G43)</f>
        <v>0.75065000000000004</v>
      </c>
    </row>
    <row r="43" spans="1:11" x14ac:dyDescent="0.2">
      <c r="A43" s="156"/>
      <c r="B43" s="157"/>
      <c r="C43" s="158"/>
      <c r="G43" s="146">
        <v>4987</v>
      </c>
      <c r="H43" s="157"/>
      <c r="I43" s="157"/>
    </row>
    <row r="44" spans="1:11" x14ac:dyDescent="0.2">
      <c r="A44" s="156" t="s">
        <v>20</v>
      </c>
      <c r="B44" s="159">
        <f>SUM(B2:B26)+SUM(B27:B40)</f>
        <v>4281.486879</v>
      </c>
      <c r="C44" s="160"/>
      <c r="G44" s="146">
        <f>SUM(G42:G43)</f>
        <v>20000</v>
      </c>
    </row>
    <row r="45" spans="1:11" x14ac:dyDescent="0.2">
      <c r="A45" s="156"/>
      <c r="B45" s="157">
        <f>B44</f>
        <v>4281.486879</v>
      </c>
      <c r="C45" s="158"/>
      <c r="G45" s="146">
        <f>G42/B46</f>
        <v>4289.4285714285716</v>
      </c>
      <c r="I45" s="145"/>
    </row>
    <row r="46" spans="1:11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1" ht="12" thickBot="1" x14ac:dyDescent="0.25">
      <c r="A47" s="162"/>
      <c r="B47" s="163"/>
      <c r="C47" s="164"/>
      <c r="D47" s="145"/>
      <c r="E47" s="145"/>
      <c r="H47" s="146">
        <f>B15/2.8</f>
        <v>116.25959964285715</v>
      </c>
      <c r="I47" s="145">
        <f>433.66*(G42)/(G42+G43)</f>
        <v>325.52687900000001</v>
      </c>
    </row>
    <row r="48" spans="1:11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8"/>
  <sheetViews>
    <sheetView zoomScaleNormal="100" workbookViewId="0">
      <selection activeCell="A12" sqref="A1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0.7109375" style="146" bestFit="1" customWidth="1"/>
    <col min="6" max="6" width="11.85546875" style="146" customWidth="1"/>
    <col min="7" max="7" width="7.5703125" style="146" customWidth="1"/>
    <col min="8" max="8" width="24.42578125" style="146" bestFit="1" customWidth="1"/>
    <col min="9" max="9" width="12.140625" style="146" bestFit="1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45</v>
      </c>
      <c r="C1" s="146" t="s">
        <v>2</v>
      </c>
      <c r="D1" s="145"/>
      <c r="F1" s="148"/>
      <c r="N1" s="145"/>
    </row>
    <row r="2" spans="1:14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22</v>
      </c>
      <c r="H2" s="146">
        <v>23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30</v>
      </c>
      <c r="C6" s="165">
        <f>B6</f>
        <v>30</v>
      </c>
      <c r="D6" s="149"/>
      <c r="E6" s="145" t="s">
        <v>611</v>
      </c>
      <c r="F6" s="145" t="s">
        <v>233</v>
      </c>
      <c r="H6" s="145" t="s">
        <v>609</v>
      </c>
      <c r="I6" s="146">
        <v>558</v>
      </c>
      <c r="L6" s="197" t="s">
        <v>616</v>
      </c>
      <c r="M6" s="167">
        <f>I6</f>
        <v>558</v>
      </c>
    </row>
    <row r="7" spans="1:14" x14ac:dyDescent="0.2">
      <c r="A7" s="165" t="s">
        <v>597</v>
      </c>
      <c r="B7" s="165">
        <v>0</v>
      </c>
      <c r="C7" s="165">
        <v>0</v>
      </c>
      <c r="D7" s="149"/>
      <c r="E7" s="169" t="s">
        <v>621</v>
      </c>
      <c r="F7" s="145">
        <f>10178.08</f>
        <v>10178.08</v>
      </c>
      <c r="H7" s="145" t="s">
        <v>605</v>
      </c>
      <c r="I7" s="146">
        <v>410.23</v>
      </c>
      <c r="J7" s="167" t="s">
        <v>6</v>
      </c>
      <c r="K7" s="167"/>
    </row>
    <row r="8" spans="1:14" x14ac:dyDescent="0.2">
      <c r="A8" s="165" t="s">
        <v>603</v>
      </c>
      <c r="B8" s="165">
        <v>210</v>
      </c>
      <c r="C8" s="165">
        <f>B8</f>
        <v>210</v>
      </c>
      <c r="D8" s="199" t="s">
        <v>620</v>
      </c>
      <c r="E8" s="145"/>
      <c r="F8" s="145">
        <v>351.84</v>
      </c>
      <c r="H8" s="145" t="s">
        <v>606</v>
      </c>
      <c r="I8" s="146">
        <f>39.01*B47</f>
        <v>136.535</v>
      </c>
      <c r="J8" s="167" t="s">
        <v>6</v>
      </c>
      <c r="K8" s="167"/>
      <c r="M8" s="146">
        <f>F7-M6</f>
        <v>9620.08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69">
        <f>SUM(F7:F8)</f>
        <v>10529.92</v>
      </c>
      <c r="H9" s="145" t="s">
        <v>607</v>
      </c>
      <c r="I9" s="145">
        <v>363</v>
      </c>
      <c r="J9" s="167" t="s">
        <v>6</v>
      </c>
      <c r="K9" s="167"/>
    </row>
    <row r="10" spans="1:14" x14ac:dyDescent="0.2">
      <c r="A10" s="165" t="s">
        <v>211</v>
      </c>
      <c r="B10" s="165">
        <f>85</f>
        <v>85</v>
      </c>
      <c r="C10" s="165">
        <f>85</f>
        <v>85</v>
      </c>
      <c r="D10" s="150"/>
      <c r="H10" s="146" t="s">
        <v>608</v>
      </c>
      <c r="I10" s="146">
        <f>170*B47</f>
        <v>595</v>
      </c>
      <c r="J10" s="167" t="s">
        <v>6</v>
      </c>
      <c r="K10" s="167"/>
    </row>
    <row r="11" spans="1:14" x14ac:dyDescent="0.2">
      <c r="A11" s="165" t="s">
        <v>197</v>
      </c>
      <c r="B11" s="165">
        <v>149</v>
      </c>
      <c r="C11" s="165">
        <v>149</v>
      </c>
      <c r="D11" s="150"/>
      <c r="F11" s="167">
        <f>B17+B18+B19+B20+B21</f>
        <v>775.27687900000001</v>
      </c>
      <c r="J11" s="167"/>
      <c r="K11" s="167"/>
    </row>
    <row r="12" spans="1:14" x14ac:dyDescent="0.2">
      <c r="A12" s="165" t="s">
        <v>622</v>
      </c>
      <c r="B12" s="165">
        <v>69</v>
      </c>
      <c r="C12" s="165">
        <v>69</v>
      </c>
      <c r="D12" s="150"/>
      <c r="F12" s="167"/>
      <c r="J12" s="167"/>
      <c r="K12" s="167"/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H13" s="146" t="s">
        <v>610</v>
      </c>
      <c r="I13" s="146">
        <f>B46</f>
        <v>3913.506879</v>
      </c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82.74</v>
      </c>
      <c r="C15" s="165">
        <f>B15</f>
        <v>82.74</v>
      </c>
      <c r="H15" s="167" t="s">
        <v>246</v>
      </c>
      <c r="I15" s="167">
        <f>SUM(I5:I14)</f>
        <v>5976.2718789999999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5" x14ac:dyDescent="0.2">
      <c r="A17" s="165" t="s">
        <v>26</v>
      </c>
      <c r="B17" s="165">
        <f>I48</f>
        <v>325.52687900000001</v>
      </c>
      <c r="C17" s="165">
        <f>+B17</f>
        <v>325.52687900000001</v>
      </c>
    </row>
    <row r="18" spans="1:15" x14ac:dyDescent="0.2">
      <c r="A18" s="165" t="s">
        <v>419</v>
      </c>
      <c r="B18" s="165">
        <v>100</v>
      </c>
      <c r="C18" s="165">
        <f t="shared" ref="C18:C21" si="0">+B18</f>
        <v>100</v>
      </c>
      <c r="K18" s="146" t="s">
        <v>617</v>
      </c>
      <c r="L18" s="146">
        <v>5536</v>
      </c>
    </row>
    <row r="19" spans="1:15" ht="12" customHeight="1" x14ac:dyDescent="0.2">
      <c r="A19" s="165" t="s">
        <v>602</v>
      </c>
      <c r="B19" s="165">
        <v>200</v>
      </c>
      <c r="C19" s="165">
        <f t="shared" si="0"/>
        <v>200</v>
      </c>
      <c r="F19" s="146" t="s">
        <v>612</v>
      </c>
      <c r="H19" s="146" t="s">
        <v>613</v>
      </c>
      <c r="K19" s="197" t="s">
        <v>618</v>
      </c>
      <c r="L19" s="146">
        <f>-I13</f>
        <v>-3913.506879</v>
      </c>
    </row>
    <row r="20" spans="1:15" ht="13.5" customHeight="1" x14ac:dyDescent="0.2">
      <c r="A20" s="196" t="s">
        <v>286</v>
      </c>
      <c r="B20" s="165">
        <v>85</v>
      </c>
      <c r="C20" s="165">
        <f t="shared" si="0"/>
        <v>85</v>
      </c>
      <c r="F20" s="167">
        <f>F9-I15</f>
        <v>4553.6481210000002</v>
      </c>
      <c r="H20" s="167">
        <f>F20/2</f>
        <v>2276.8240605000001</v>
      </c>
      <c r="I20" s="167" t="s">
        <v>6</v>
      </c>
      <c r="K20" s="198" t="s">
        <v>614</v>
      </c>
      <c r="L20" s="167">
        <f>SUM(L18:L19)</f>
        <v>1622.493121</v>
      </c>
    </row>
    <row r="21" spans="1:15" x14ac:dyDescent="0.2">
      <c r="A21" s="196" t="s">
        <v>587</v>
      </c>
      <c r="B21" s="165">
        <f>(184+75)/4</f>
        <v>64.75</v>
      </c>
      <c r="C21" s="165">
        <f t="shared" si="0"/>
        <v>64.75</v>
      </c>
      <c r="H21" s="146" t="s">
        <v>614</v>
      </c>
    </row>
    <row r="22" spans="1:15" x14ac:dyDescent="0.2">
      <c r="A22" s="165" t="s">
        <v>32</v>
      </c>
      <c r="B22" s="165">
        <v>0</v>
      </c>
      <c r="C22" s="165">
        <v>0</v>
      </c>
      <c r="E22" s="145"/>
      <c r="H22" s="169">
        <f>F20/2</f>
        <v>2276.8240605000001</v>
      </c>
      <c r="I22" s="145"/>
    </row>
    <row r="23" spans="1:15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5" x14ac:dyDescent="0.2">
      <c r="A24" s="147" t="s">
        <v>291</v>
      </c>
      <c r="B24" s="147">
        <f>0.5*H2+20</f>
        <v>31.5</v>
      </c>
      <c r="C24" s="147">
        <f>0.5*G2+20</f>
        <v>31</v>
      </c>
      <c r="J24" s="146">
        <v>89</v>
      </c>
      <c r="K24" s="146">
        <f>+(J25-J24)/3</f>
        <v>18</v>
      </c>
      <c r="M24" s="146">
        <v>120</v>
      </c>
    </row>
    <row r="25" spans="1:15" x14ac:dyDescent="0.2">
      <c r="A25" s="147" t="s">
        <v>430</v>
      </c>
      <c r="B25" s="147">
        <f>8.5*H2</f>
        <v>195.5</v>
      </c>
      <c r="C25" s="147">
        <f>8.5*G2</f>
        <v>187</v>
      </c>
      <c r="D25" s="147"/>
      <c r="E25" s="147"/>
      <c r="F25" s="147">
        <f>B43-891</f>
        <v>-871.80000000000018</v>
      </c>
      <c r="G25" s="147">
        <f>2360-F25</f>
        <v>3231.8</v>
      </c>
      <c r="H25" s="147"/>
      <c r="I25" s="147"/>
      <c r="J25" s="146">
        <v>143</v>
      </c>
      <c r="M25" s="146">
        <v>18</v>
      </c>
      <c r="O25" s="145"/>
    </row>
    <row r="26" spans="1:15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>
        <f>B45+60</f>
        <v>3973.506879</v>
      </c>
      <c r="H26" s="147"/>
      <c r="I26" s="147">
        <f>1198-B43</f>
        <v>1178.8000000000002</v>
      </c>
      <c r="M26" s="146">
        <v>64.75</v>
      </c>
      <c r="O26" s="145"/>
    </row>
    <row r="27" spans="1:15" x14ac:dyDescent="0.2">
      <c r="A27" s="147" t="s">
        <v>87</v>
      </c>
      <c r="B27" s="147">
        <f>(1)*H2+(2.5/2)*H2   +  (2.5/2)*H2+(1.7)*H2</f>
        <v>119.6</v>
      </c>
      <c r="C27" s="147">
        <f>(1)*G2+(2.5/2)*G2   +  (2.5/2)*G2+(1.7)*G2</f>
        <v>114.4</v>
      </c>
      <c r="D27" s="147"/>
      <c r="E27" s="147"/>
      <c r="F27" s="147"/>
      <c r="G27" s="147"/>
      <c r="J27" s="146">
        <f>89+18</f>
        <v>107</v>
      </c>
      <c r="M27" s="146">
        <v>22</v>
      </c>
      <c r="O27" s="145"/>
    </row>
    <row r="28" spans="1:15" x14ac:dyDescent="0.2">
      <c r="A28" s="147" t="s">
        <v>89</v>
      </c>
      <c r="B28" s="147">
        <f>5*H2</f>
        <v>115</v>
      </c>
      <c r="C28" s="147">
        <f>5*G2</f>
        <v>110</v>
      </c>
      <c r="D28" s="147"/>
      <c r="E28" s="147"/>
      <c r="H28" s="146">
        <f>900-F11</f>
        <v>124.72312099999999</v>
      </c>
      <c r="I28" s="146">
        <v>120</v>
      </c>
      <c r="J28" s="147"/>
      <c r="K28" s="147"/>
      <c r="L28" s="147"/>
      <c r="M28" s="147"/>
      <c r="O28" s="145"/>
    </row>
    <row r="29" spans="1:15" x14ac:dyDescent="0.2">
      <c r="A29" s="168" t="s">
        <v>61</v>
      </c>
      <c r="B29" s="165">
        <v>0</v>
      </c>
      <c r="C29" s="165">
        <v>0</v>
      </c>
      <c r="G29" s="147"/>
      <c r="H29" s="147"/>
      <c r="I29" s="147">
        <v>64.75</v>
      </c>
      <c r="J29" s="147"/>
      <c r="K29" s="147"/>
      <c r="L29" s="147"/>
      <c r="M29" s="146">
        <f>SUM(M24:M28)</f>
        <v>224.75</v>
      </c>
    </row>
    <row r="30" spans="1:15" x14ac:dyDescent="0.2">
      <c r="A30" s="168" t="s">
        <v>221</v>
      </c>
      <c r="B30" s="165">
        <v>0</v>
      </c>
      <c r="C30" s="165">
        <v>0</v>
      </c>
      <c r="E30" s="151"/>
      <c r="F30" s="151" t="s">
        <v>623</v>
      </c>
      <c r="G30" s="151">
        <v>64.75</v>
      </c>
      <c r="H30" s="151"/>
      <c r="I30" s="151">
        <v>250</v>
      </c>
      <c r="J30" s="147"/>
      <c r="K30" s="147"/>
      <c r="L30" s="147"/>
    </row>
    <row r="31" spans="1:15" x14ac:dyDescent="0.2">
      <c r="A31" s="166" t="s">
        <v>112</v>
      </c>
      <c r="B31" s="165">
        <v>0</v>
      </c>
      <c r="C31" s="165">
        <v>0</v>
      </c>
      <c r="F31" s="145"/>
      <c r="G31" s="147"/>
      <c r="H31" s="147"/>
      <c r="I31" s="147">
        <v>100</v>
      </c>
      <c r="J31" s="147"/>
      <c r="K31" s="147"/>
      <c r="L31" s="147"/>
    </row>
    <row r="32" spans="1:15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>
        <f>1172-B43</f>
        <v>1152.8000000000002</v>
      </c>
      <c r="H32" s="165">
        <v>4327</v>
      </c>
      <c r="I32" s="147">
        <v>80</v>
      </c>
      <c r="J32" s="147"/>
      <c r="K32" s="147"/>
      <c r="L32" s="147"/>
    </row>
    <row r="33" spans="1:12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G33" s="147"/>
      <c r="H33" s="147"/>
      <c r="I33" s="168">
        <f>SUM(I28:I32)</f>
        <v>614.75</v>
      </c>
      <c r="J33" s="147">
        <f>I28+I29+I30</f>
        <v>434.75</v>
      </c>
      <c r="K33" s="147"/>
      <c r="L33" s="147"/>
    </row>
    <row r="34" spans="1:12" x14ac:dyDescent="0.2">
      <c r="A34" s="166" t="s">
        <v>374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392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428</v>
      </c>
      <c r="B36" s="165">
        <v>0</v>
      </c>
      <c r="C36" s="165"/>
      <c r="G36" s="147">
        <f>B43-845</f>
        <v>-825.80000000000018</v>
      </c>
      <c r="H36" s="147"/>
      <c r="I36" s="147"/>
      <c r="J36" s="147"/>
      <c r="K36" s="147"/>
      <c r="L36" s="147"/>
    </row>
    <row r="37" spans="1:1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591</v>
      </c>
      <c r="B38" s="165">
        <v>120</v>
      </c>
      <c r="C38" s="165"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604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6" t="s">
        <v>619</v>
      </c>
      <c r="B40" s="165">
        <v>300</v>
      </c>
      <c r="C40" s="165">
        <f>B40</f>
        <v>300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x14ac:dyDescent="0.2">
      <c r="A41" s="167" t="s">
        <v>395</v>
      </c>
      <c r="B41" s="167">
        <v>40</v>
      </c>
      <c r="C41" s="165">
        <f>B41</f>
        <v>40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ht="12" thickBot="1" x14ac:dyDescent="0.25">
      <c r="A42" s="146" t="s">
        <v>31</v>
      </c>
      <c r="B42" s="146">
        <f>SUM(C2:C41)</f>
        <v>3894.3068790000002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2" x14ac:dyDescent="0.2">
      <c r="A43" s="153" t="s">
        <v>24</v>
      </c>
      <c r="B43" s="154">
        <f>B45-B42</f>
        <v>19.199999999999818</v>
      </c>
      <c r="C43" s="155"/>
      <c r="G43" s="146">
        <v>15013</v>
      </c>
      <c r="J43" s="145">
        <f>(G43)/(G43+G44)</f>
        <v>0.75065000000000004</v>
      </c>
      <c r="K43" s="145"/>
    </row>
    <row r="44" spans="1:12" x14ac:dyDescent="0.2">
      <c r="A44" s="156"/>
      <c r="B44" s="157"/>
      <c r="C44" s="158"/>
      <c r="G44" s="146">
        <v>4987</v>
      </c>
      <c r="H44" s="157"/>
      <c r="I44" s="157"/>
    </row>
    <row r="45" spans="1:12" x14ac:dyDescent="0.2">
      <c r="A45" s="156" t="s">
        <v>20</v>
      </c>
      <c r="B45" s="159">
        <f>SUM(B2:B28)+SUM(B29:B41)</f>
        <v>3913.506879</v>
      </c>
      <c r="C45" s="160"/>
      <c r="G45" s="146">
        <f>SUM(G43:G44)</f>
        <v>20000</v>
      </c>
    </row>
    <row r="46" spans="1:12" x14ac:dyDescent="0.2">
      <c r="A46" s="156"/>
      <c r="B46" s="157">
        <f>B45</f>
        <v>3913.506879</v>
      </c>
      <c r="C46" s="158"/>
      <c r="G46" s="146">
        <f>G43/B47</f>
        <v>4289.4285714285716</v>
      </c>
      <c r="I46" s="145"/>
    </row>
    <row r="47" spans="1:1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1200" verticalDpi="1200"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Z58"/>
  <sheetViews>
    <sheetView zoomScaleNormal="100" workbookViewId="0">
      <selection activeCell="A12" sqref="A1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0" width="9.140625" style="146"/>
    <col min="11" max="11" width="11.42578125" style="146" bestFit="1" customWidth="1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82" x14ac:dyDescent="0.2">
      <c r="A1" s="182" t="s">
        <v>47</v>
      </c>
      <c r="C1" s="146" t="s">
        <v>2</v>
      </c>
      <c r="D1" s="145"/>
      <c r="F1" s="148"/>
      <c r="M1" s="146" t="s">
        <v>654</v>
      </c>
      <c r="N1" s="145"/>
    </row>
    <row r="2" spans="1:182" x14ac:dyDescent="0.2">
      <c r="A2" s="147" t="s">
        <v>4</v>
      </c>
      <c r="B2" s="147">
        <v>400</v>
      </c>
      <c r="C2" s="147">
        <v>300</v>
      </c>
      <c r="F2" s="145" t="s">
        <v>473</v>
      </c>
      <c r="G2" s="146">
        <v>19</v>
      </c>
      <c r="H2" s="146">
        <v>21</v>
      </c>
      <c r="I2" s="148"/>
    </row>
    <row r="3" spans="1:182" s="167" customFormat="1" x14ac:dyDescent="0.2">
      <c r="A3" s="165" t="s">
        <v>7</v>
      </c>
      <c r="B3" s="165">
        <f>89+20</f>
        <v>109</v>
      </c>
      <c r="C3" s="165">
        <f t="shared" ref="C3:C7" si="0">B3</f>
        <v>109</v>
      </c>
      <c r="D3" s="146"/>
      <c r="E3" s="146"/>
      <c r="F3" s="145" t="s">
        <v>474</v>
      </c>
      <c r="G3" s="146">
        <v>4</v>
      </c>
      <c r="H3" s="146"/>
      <c r="I3" s="146"/>
      <c r="J3" s="146"/>
      <c r="K3" s="146"/>
      <c r="L3" s="146"/>
      <c r="M3" s="146"/>
      <c r="N3" s="146"/>
      <c r="O3" s="146"/>
      <c r="P3" s="146"/>
      <c r="Q3" s="146"/>
      <c r="R3" s="146"/>
      <c r="S3" s="146"/>
      <c r="T3" s="146"/>
      <c r="U3" s="146"/>
      <c r="V3" s="146"/>
      <c r="W3" s="146"/>
      <c r="X3" s="146"/>
      <c r="Y3" s="146"/>
      <c r="Z3" s="146"/>
      <c r="AA3" s="146"/>
      <c r="AB3" s="146"/>
      <c r="AC3" s="146"/>
      <c r="AD3" s="146"/>
      <c r="AE3" s="146"/>
      <c r="AF3" s="146"/>
      <c r="AG3" s="146"/>
      <c r="AH3" s="146"/>
      <c r="AI3" s="146"/>
      <c r="AJ3" s="146"/>
      <c r="AK3" s="146"/>
      <c r="AL3" s="146"/>
      <c r="AM3" s="146"/>
      <c r="AN3" s="146"/>
      <c r="AO3" s="146"/>
      <c r="AP3" s="146"/>
      <c r="AQ3" s="146"/>
      <c r="AR3" s="146"/>
      <c r="AS3" s="146"/>
      <c r="AT3" s="146"/>
      <c r="AU3" s="146"/>
      <c r="AV3" s="146"/>
      <c r="AW3" s="146"/>
      <c r="AX3" s="146"/>
      <c r="AY3" s="146"/>
      <c r="AZ3" s="146"/>
      <c r="BA3" s="146"/>
      <c r="BB3" s="146"/>
      <c r="BC3" s="146"/>
      <c r="BD3" s="146"/>
      <c r="BE3" s="146"/>
      <c r="BF3" s="146"/>
      <c r="BG3" s="146"/>
      <c r="BH3" s="146"/>
      <c r="BI3" s="146"/>
      <c r="BJ3" s="146"/>
      <c r="BK3" s="146"/>
      <c r="BL3" s="146"/>
      <c r="BM3" s="146"/>
      <c r="BN3" s="146"/>
      <c r="BO3" s="146"/>
      <c r="BP3" s="146"/>
      <c r="BQ3" s="146"/>
      <c r="BR3" s="146"/>
      <c r="BS3" s="146"/>
      <c r="BT3" s="146"/>
      <c r="BU3" s="146"/>
      <c r="BV3" s="146"/>
      <c r="BW3" s="146"/>
      <c r="BX3" s="146"/>
      <c r="BY3" s="146"/>
      <c r="BZ3" s="146"/>
      <c r="CA3" s="146"/>
      <c r="CB3" s="146"/>
      <c r="CC3" s="146"/>
      <c r="CD3" s="146"/>
      <c r="CE3" s="146"/>
      <c r="CF3" s="146"/>
      <c r="CG3" s="146"/>
      <c r="CH3" s="146"/>
      <c r="CI3" s="146"/>
      <c r="CJ3" s="146"/>
      <c r="CK3" s="146"/>
      <c r="CL3" s="146"/>
      <c r="CM3" s="146"/>
      <c r="CN3" s="146"/>
      <c r="CO3" s="146"/>
      <c r="CP3" s="146"/>
      <c r="CQ3" s="146"/>
      <c r="CR3" s="146"/>
      <c r="CS3" s="146"/>
      <c r="CT3" s="146"/>
      <c r="CU3" s="146"/>
      <c r="CV3" s="146"/>
      <c r="CW3" s="146"/>
      <c r="CX3" s="146"/>
      <c r="CY3" s="146"/>
      <c r="CZ3" s="146"/>
      <c r="DA3" s="146"/>
      <c r="DB3" s="146"/>
      <c r="DC3" s="146"/>
      <c r="DD3" s="146"/>
      <c r="DE3" s="146"/>
      <c r="DF3" s="146"/>
      <c r="DG3" s="146"/>
      <c r="DH3" s="146"/>
      <c r="DI3" s="146"/>
      <c r="DJ3" s="146"/>
      <c r="DK3" s="146"/>
      <c r="DL3" s="146"/>
      <c r="DM3" s="146"/>
      <c r="DN3" s="146"/>
      <c r="DO3" s="146"/>
      <c r="DP3" s="146"/>
      <c r="DQ3" s="146"/>
      <c r="DR3" s="146"/>
      <c r="DS3" s="146"/>
      <c r="DT3" s="146"/>
      <c r="DU3" s="146"/>
      <c r="DV3" s="146"/>
      <c r="DW3" s="146"/>
      <c r="DX3" s="146"/>
      <c r="DY3" s="146"/>
      <c r="DZ3" s="146"/>
      <c r="EA3" s="146"/>
      <c r="EB3" s="146"/>
      <c r="EC3" s="146"/>
      <c r="ED3" s="146"/>
      <c r="EE3" s="146"/>
      <c r="EF3" s="146"/>
      <c r="EG3" s="146"/>
      <c r="EH3" s="146"/>
      <c r="EI3" s="146"/>
      <c r="EJ3" s="146"/>
      <c r="EK3" s="146"/>
      <c r="EL3" s="146"/>
      <c r="EM3" s="146"/>
      <c r="EN3" s="146"/>
      <c r="EO3" s="146"/>
      <c r="EP3" s="146"/>
      <c r="EQ3" s="146"/>
      <c r="ER3" s="146"/>
      <c r="ES3" s="146"/>
      <c r="ET3" s="146"/>
      <c r="EU3" s="146"/>
      <c r="EV3" s="146"/>
      <c r="EW3" s="146"/>
      <c r="EX3" s="146"/>
      <c r="EY3" s="146"/>
      <c r="EZ3" s="146"/>
      <c r="FA3" s="146"/>
      <c r="FB3" s="146"/>
      <c r="FC3" s="146"/>
      <c r="FD3" s="146"/>
      <c r="FE3" s="146"/>
      <c r="FF3" s="146"/>
      <c r="FG3" s="146"/>
      <c r="FH3" s="146"/>
      <c r="FI3" s="146"/>
      <c r="FJ3" s="146"/>
      <c r="FK3" s="146"/>
      <c r="FL3" s="146"/>
      <c r="FM3" s="146"/>
      <c r="FN3" s="146"/>
      <c r="FO3" s="146"/>
      <c r="FP3" s="146"/>
      <c r="FQ3" s="146"/>
      <c r="FR3" s="146"/>
      <c r="FS3" s="146"/>
      <c r="FT3" s="146"/>
      <c r="FU3" s="146"/>
      <c r="FV3" s="146"/>
      <c r="FW3" s="146"/>
      <c r="FX3" s="146"/>
      <c r="FY3" s="146"/>
      <c r="FZ3" s="146"/>
    </row>
    <row r="4" spans="1:182" s="167" customFormat="1" x14ac:dyDescent="0.2">
      <c r="A4" s="165" t="s">
        <v>601</v>
      </c>
      <c r="B4" s="165">
        <v>117.8</v>
      </c>
      <c r="C4" s="165">
        <f t="shared" si="0"/>
        <v>117.8</v>
      </c>
      <c r="D4" s="146"/>
      <c r="E4" s="146"/>
      <c r="F4" s="146"/>
      <c r="G4" s="146"/>
      <c r="H4" s="146"/>
      <c r="I4" s="146"/>
      <c r="J4" s="146"/>
      <c r="K4" s="146"/>
      <c r="L4" s="146"/>
      <c r="M4" s="146"/>
      <c r="N4" s="146"/>
      <c r="O4" s="146"/>
      <c r="P4" s="146"/>
      <c r="Q4" s="146"/>
      <c r="R4" s="146"/>
      <c r="S4" s="146"/>
      <c r="T4" s="146"/>
      <c r="U4" s="146"/>
      <c r="V4" s="146"/>
      <c r="W4" s="146"/>
      <c r="X4" s="146"/>
      <c r="Y4" s="146"/>
      <c r="Z4" s="146"/>
      <c r="AA4" s="146"/>
      <c r="AB4" s="146"/>
      <c r="AC4" s="146"/>
      <c r="AD4" s="146"/>
      <c r="AE4" s="146"/>
      <c r="AF4" s="146"/>
      <c r="AG4" s="146"/>
      <c r="AH4" s="146"/>
      <c r="AI4" s="146"/>
      <c r="AJ4" s="146"/>
      <c r="AK4" s="146"/>
      <c r="AL4" s="146"/>
      <c r="AM4" s="146"/>
      <c r="AN4" s="146"/>
      <c r="AO4" s="146"/>
      <c r="AP4" s="146"/>
      <c r="AQ4" s="146"/>
      <c r="AR4" s="146"/>
      <c r="AS4" s="146"/>
      <c r="AT4" s="146"/>
      <c r="AU4" s="146"/>
      <c r="AV4" s="146"/>
      <c r="AW4" s="146"/>
      <c r="AX4" s="146"/>
      <c r="AY4" s="146"/>
      <c r="AZ4" s="146"/>
      <c r="BA4" s="146"/>
      <c r="BB4" s="146"/>
      <c r="BC4" s="146"/>
      <c r="BD4" s="146"/>
      <c r="BE4" s="146"/>
      <c r="BF4" s="146"/>
      <c r="BG4" s="146"/>
      <c r="BH4" s="146"/>
      <c r="BI4" s="146"/>
      <c r="BJ4" s="146"/>
      <c r="BK4" s="146"/>
      <c r="BL4" s="146"/>
      <c r="BM4" s="146"/>
      <c r="BN4" s="146"/>
      <c r="BO4" s="146"/>
      <c r="BP4" s="146"/>
      <c r="BQ4" s="146"/>
      <c r="BR4" s="146"/>
      <c r="BS4" s="146"/>
      <c r="BT4" s="146"/>
      <c r="BU4" s="146"/>
      <c r="BV4" s="146"/>
      <c r="BW4" s="146"/>
      <c r="BX4" s="146"/>
      <c r="BY4" s="146"/>
      <c r="BZ4" s="146"/>
      <c r="CA4" s="146"/>
      <c r="CB4" s="146"/>
      <c r="CC4" s="146"/>
      <c r="CD4" s="146"/>
      <c r="CE4" s="146"/>
      <c r="CF4" s="146"/>
      <c r="CG4" s="146"/>
      <c r="CH4" s="146"/>
      <c r="CI4" s="146"/>
      <c r="CJ4" s="146"/>
      <c r="CK4" s="146"/>
      <c r="CL4" s="146"/>
      <c r="CM4" s="146"/>
      <c r="CN4" s="146"/>
      <c r="CO4" s="146"/>
      <c r="CP4" s="146"/>
      <c r="CQ4" s="146"/>
      <c r="CR4" s="146"/>
      <c r="CS4" s="146"/>
      <c r="CT4" s="146"/>
      <c r="CU4" s="146"/>
      <c r="CV4" s="146"/>
      <c r="CW4" s="146"/>
      <c r="CX4" s="146"/>
      <c r="CY4" s="146"/>
      <c r="CZ4" s="146"/>
      <c r="DA4" s="146"/>
      <c r="DB4" s="146"/>
      <c r="DC4" s="146"/>
      <c r="DD4" s="146"/>
      <c r="DE4" s="146"/>
      <c r="DF4" s="146"/>
      <c r="DG4" s="146"/>
      <c r="DH4" s="146"/>
      <c r="DI4" s="146"/>
      <c r="DJ4" s="146"/>
      <c r="DK4" s="146"/>
      <c r="DL4" s="146"/>
      <c r="DM4" s="146"/>
      <c r="DN4" s="146"/>
      <c r="DO4" s="146"/>
      <c r="DP4" s="146"/>
      <c r="DQ4" s="146"/>
      <c r="DR4" s="146"/>
      <c r="DS4" s="146"/>
      <c r="DT4" s="146"/>
      <c r="DU4" s="146"/>
      <c r="DV4" s="146"/>
      <c r="DW4" s="146"/>
      <c r="DX4" s="146"/>
      <c r="DY4" s="146"/>
      <c r="DZ4" s="146"/>
      <c r="EA4" s="146"/>
      <c r="EB4" s="146"/>
      <c r="EC4" s="146"/>
      <c r="ED4" s="146"/>
      <c r="EE4" s="146"/>
      <c r="EF4" s="146"/>
      <c r="EG4" s="146"/>
      <c r="EH4" s="146"/>
      <c r="EI4" s="146"/>
      <c r="EJ4" s="146"/>
      <c r="EK4" s="146"/>
      <c r="EL4" s="146"/>
      <c r="EM4" s="146"/>
      <c r="EN4" s="146"/>
      <c r="EO4" s="146"/>
      <c r="EP4" s="146"/>
      <c r="EQ4" s="146"/>
      <c r="ER4" s="146"/>
      <c r="ES4" s="146"/>
      <c r="ET4" s="146"/>
      <c r="EU4" s="146"/>
      <c r="EV4" s="146"/>
      <c r="EW4" s="146"/>
      <c r="EX4" s="146"/>
      <c r="EY4" s="146"/>
      <c r="EZ4" s="146"/>
      <c r="FA4" s="146"/>
      <c r="FB4" s="146"/>
      <c r="FC4" s="146"/>
      <c r="FD4" s="146"/>
      <c r="FE4" s="146"/>
      <c r="FF4" s="146"/>
      <c r="FG4" s="146"/>
      <c r="FH4" s="146"/>
      <c r="FI4" s="146"/>
      <c r="FJ4" s="146"/>
      <c r="FK4" s="146"/>
      <c r="FL4" s="146"/>
      <c r="FM4" s="146"/>
      <c r="FN4" s="146"/>
      <c r="FO4" s="146"/>
      <c r="FP4" s="146"/>
      <c r="FQ4" s="146"/>
      <c r="FR4" s="146"/>
      <c r="FS4" s="146"/>
      <c r="FT4" s="146"/>
      <c r="FU4" s="146"/>
      <c r="FV4" s="146"/>
      <c r="FW4" s="146"/>
      <c r="FX4" s="146"/>
      <c r="FY4" s="146"/>
      <c r="FZ4" s="146"/>
    </row>
    <row r="5" spans="1:182" x14ac:dyDescent="0.2">
      <c r="A5" s="165" t="s">
        <v>216</v>
      </c>
      <c r="B5" s="165">
        <v>407</v>
      </c>
      <c r="C5" s="165">
        <f t="shared" si="0"/>
        <v>407</v>
      </c>
      <c r="D5" s="149"/>
      <c r="E5" s="145"/>
      <c r="F5" s="145"/>
      <c r="H5" s="145"/>
      <c r="K5" s="146" t="s">
        <v>639</v>
      </c>
    </row>
    <row r="6" spans="1:182" ht="12" customHeight="1" x14ac:dyDescent="0.2">
      <c r="A6" s="165" t="s">
        <v>550</v>
      </c>
      <c r="B6" s="165">
        <v>34</v>
      </c>
      <c r="C6" s="165">
        <f t="shared" si="0"/>
        <v>34</v>
      </c>
      <c r="D6" s="149"/>
      <c r="E6" s="145"/>
      <c r="F6" s="145"/>
      <c r="H6" s="145"/>
      <c r="K6" s="146" t="s">
        <v>640</v>
      </c>
      <c r="L6" s="197" t="s">
        <v>641</v>
      </c>
      <c r="M6" s="146">
        <v>1</v>
      </c>
    </row>
    <row r="7" spans="1:182" s="167" customFormat="1" x14ac:dyDescent="0.2">
      <c r="A7" s="165" t="s">
        <v>626</v>
      </c>
      <c r="B7" s="165">
        <v>9.5</v>
      </c>
      <c r="C7" s="165">
        <f t="shared" si="0"/>
        <v>9.5</v>
      </c>
      <c r="D7" s="149"/>
      <c r="E7" s="145"/>
      <c r="F7" s="145"/>
      <c r="G7" s="146"/>
      <c r="H7" s="145"/>
      <c r="I7" s="146"/>
      <c r="J7" s="146"/>
      <c r="K7" s="146"/>
      <c r="L7" s="146" t="s">
        <v>642</v>
      </c>
      <c r="M7" s="146">
        <v>2</v>
      </c>
      <c r="N7" s="146"/>
      <c r="O7" s="146"/>
      <c r="P7" s="146"/>
      <c r="Q7" s="146"/>
      <c r="R7" s="146"/>
      <c r="S7" s="146"/>
      <c r="T7" s="146"/>
      <c r="U7" s="146"/>
      <c r="V7" s="146"/>
      <c r="W7" s="146"/>
      <c r="X7" s="146"/>
      <c r="Y7" s="146"/>
      <c r="Z7" s="146"/>
      <c r="AA7" s="146"/>
      <c r="AB7" s="146"/>
      <c r="AC7" s="146"/>
      <c r="AD7" s="146"/>
      <c r="AE7" s="146"/>
      <c r="AF7" s="146"/>
      <c r="AG7" s="146"/>
      <c r="AH7" s="146"/>
      <c r="AI7" s="146"/>
      <c r="AJ7" s="146"/>
      <c r="AK7" s="146"/>
      <c r="AL7" s="146"/>
      <c r="AM7" s="146"/>
      <c r="AN7" s="146"/>
      <c r="AO7" s="146"/>
      <c r="AP7" s="146"/>
      <c r="AQ7" s="146"/>
      <c r="AR7" s="146"/>
      <c r="AS7" s="146"/>
      <c r="AT7" s="146"/>
      <c r="AU7" s="146"/>
      <c r="AV7" s="146"/>
      <c r="AW7" s="146"/>
      <c r="AX7" s="146"/>
      <c r="AY7" s="146"/>
      <c r="AZ7" s="146"/>
      <c r="BA7" s="146"/>
      <c r="BB7" s="146"/>
      <c r="BC7" s="146"/>
      <c r="BD7" s="146"/>
      <c r="BE7" s="146"/>
      <c r="BF7" s="146"/>
      <c r="BG7" s="146"/>
      <c r="BH7" s="146"/>
      <c r="BI7" s="146"/>
      <c r="BJ7" s="146"/>
      <c r="BK7" s="146"/>
      <c r="BL7" s="146"/>
      <c r="BM7" s="146"/>
      <c r="BN7" s="146"/>
      <c r="BO7" s="146"/>
      <c r="BP7" s="146"/>
      <c r="BQ7" s="146"/>
      <c r="BR7" s="146"/>
      <c r="BS7" s="146"/>
      <c r="BT7" s="146"/>
      <c r="BU7" s="146"/>
      <c r="BV7" s="146"/>
      <c r="BW7" s="146"/>
      <c r="BX7" s="146"/>
      <c r="BY7" s="146"/>
      <c r="BZ7" s="146"/>
      <c r="CA7" s="146"/>
      <c r="CB7" s="146"/>
      <c r="CC7" s="146"/>
      <c r="CD7" s="146"/>
      <c r="CE7" s="146"/>
      <c r="CF7" s="146"/>
      <c r="CG7" s="146"/>
      <c r="CH7" s="146"/>
      <c r="CI7" s="146"/>
      <c r="CJ7" s="146"/>
      <c r="CK7" s="146"/>
      <c r="CL7" s="146"/>
      <c r="CM7" s="146"/>
      <c r="CN7" s="146"/>
      <c r="CO7" s="146"/>
      <c r="CP7" s="146"/>
      <c r="CQ7" s="146"/>
      <c r="CR7" s="146"/>
      <c r="CS7" s="146"/>
      <c r="CT7" s="146"/>
      <c r="CU7" s="146"/>
      <c r="CV7" s="146"/>
      <c r="CW7" s="146"/>
      <c r="CX7" s="146"/>
      <c r="CY7" s="146"/>
      <c r="CZ7" s="146"/>
      <c r="DA7" s="146"/>
      <c r="DB7" s="146"/>
      <c r="DC7" s="146"/>
      <c r="DD7" s="146"/>
      <c r="DE7" s="146"/>
      <c r="DF7" s="146"/>
      <c r="DG7" s="146"/>
      <c r="DH7" s="146"/>
      <c r="DI7" s="146"/>
      <c r="DJ7" s="146"/>
      <c r="DK7" s="146"/>
      <c r="DL7" s="146"/>
      <c r="DM7" s="146"/>
      <c r="DN7" s="146"/>
      <c r="DO7" s="146"/>
      <c r="DP7" s="146"/>
      <c r="DQ7" s="146"/>
      <c r="DR7" s="146"/>
      <c r="DS7" s="146"/>
      <c r="DT7" s="146"/>
      <c r="DU7" s="146"/>
      <c r="DV7" s="146"/>
      <c r="DW7" s="146"/>
      <c r="DX7" s="146"/>
      <c r="DY7" s="146"/>
      <c r="DZ7" s="146"/>
      <c r="EA7" s="146"/>
      <c r="EB7" s="146"/>
      <c r="EC7" s="146"/>
      <c r="ED7" s="146"/>
      <c r="EE7" s="146"/>
      <c r="EF7" s="146"/>
      <c r="EG7" s="146"/>
      <c r="EH7" s="146"/>
      <c r="EI7" s="146"/>
      <c r="EJ7" s="146"/>
      <c r="EK7" s="146"/>
      <c r="EL7" s="146"/>
      <c r="EM7" s="146"/>
      <c r="EN7" s="146"/>
      <c r="EO7" s="146"/>
      <c r="EP7" s="146"/>
      <c r="EQ7" s="146"/>
      <c r="ER7" s="146"/>
      <c r="ES7" s="146"/>
      <c r="ET7" s="146"/>
      <c r="EU7" s="146"/>
      <c r="EV7" s="146"/>
      <c r="EW7" s="146"/>
      <c r="EX7" s="146"/>
      <c r="EY7" s="146"/>
      <c r="EZ7" s="146"/>
      <c r="FA7" s="146"/>
      <c r="FB7" s="146"/>
      <c r="FC7" s="146"/>
      <c r="FD7" s="146"/>
      <c r="FE7" s="146"/>
      <c r="FF7" s="146"/>
      <c r="FG7" s="146"/>
      <c r="FH7" s="146"/>
      <c r="FI7" s="146"/>
      <c r="FJ7" s="146"/>
      <c r="FK7" s="146"/>
      <c r="FL7" s="146"/>
      <c r="FM7" s="146"/>
      <c r="FN7" s="146"/>
      <c r="FO7" s="146"/>
      <c r="FP7" s="146"/>
      <c r="FQ7" s="146"/>
      <c r="FR7" s="146"/>
      <c r="FS7" s="146"/>
      <c r="FT7" s="146"/>
      <c r="FU7" s="146"/>
      <c r="FV7" s="146"/>
      <c r="FW7" s="146"/>
      <c r="FX7" s="146"/>
      <c r="FY7" s="146"/>
      <c r="FZ7" s="146"/>
    </row>
    <row r="8" spans="1:182" x14ac:dyDescent="0.2">
      <c r="A8" s="165" t="s">
        <v>627</v>
      </c>
      <c r="B8" s="165">
        <v>210</v>
      </c>
      <c r="C8" s="165">
        <v>210</v>
      </c>
      <c r="D8" s="149"/>
      <c r="E8" s="145"/>
      <c r="F8" s="145">
        <f>5000-B43</f>
        <v>4851.6000000000004</v>
      </c>
      <c r="G8" s="146">
        <f>56.33*2</f>
        <v>112.66</v>
      </c>
      <c r="H8" s="145">
        <f>56.33*3</f>
        <v>168.99</v>
      </c>
      <c r="K8" s="146" t="s">
        <v>643</v>
      </c>
      <c r="L8" s="146" t="s">
        <v>644</v>
      </c>
      <c r="M8" s="146" t="s">
        <v>652</v>
      </c>
      <c r="N8" s="146" t="s">
        <v>653</v>
      </c>
    </row>
    <row r="9" spans="1:182" x14ac:dyDescent="0.2">
      <c r="A9" s="165" t="s">
        <v>171</v>
      </c>
      <c r="B9" s="165">
        <v>50</v>
      </c>
      <c r="C9" s="165">
        <v>50</v>
      </c>
      <c r="E9" s="145"/>
      <c r="F9" s="145"/>
      <c r="G9" s="146">
        <f>10000-9480-G8</f>
        <v>407.34000000000003</v>
      </c>
      <c r="H9" s="145"/>
      <c r="I9" s="145"/>
      <c r="L9" s="146" t="s">
        <v>645</v>
      </c>
      <c r="M9" s="146" t="s">
        <v>646</v>
      </c>
      <c r="N9" s="146" t="s">
        <v>653</v>
      </c>
    </row>
    <row r="10" spans="1:182" x14ac:dyDescent="0.2">
      <c r="A10" s="165" t="s">
        <v>211</v>
      </c>
      <c r="B10" s="165">
        <f>85</f>
        <v>85</v>
      </c>
      <c r="C10" s="165">
        <f>85</f>
        <v>85</v>
      </c>
      <c r="D10" s="150"/>
      <c r="G10" s="146">
        <f>10000-9480</f>
        <v>520</v>
      </c>
      <c r="L10" s="146" t="s">
        <v>647</v>
      </c>
      <c r="M10" s="146" t="s">
        <v>648</v>
      </c>
    </row>
    <row r="11" spans="1:182" x14ac:dyDescent="0.2">
      <c r="A11" s="165" t="s">
        <v>197</v>
      </c>
      <c r="B11" s="165">
        <v>149</v>
      </c>
      <c r="C11" s="165">
        <v>149</v>
      </c>
      <c r="D11" s="150"/>
      <c r="L11" s="146" t="s">
        <v>649</v>
      </c>
      <c r="M11" s="146" t="s">
        <v>650</v>
      </c>
    </row>
    <row r="12" spans="1:182" x14ac:dyDescent="0.2">
      <c r="A12" s="165" t="s">
        <v>622</v>
      </c>
      <c r="B12" s="165">
        <v>69</v>
      </c>
      <c r="C12" s="165">
        <v>69</v>
      </c>
      <c r="D12" s="150"/>
      <c r="G12" s="146">
        <f>B3</f>
        <v>109</v>
      </c>
      <c r="H12" s="146">
        <f>G12-G13</f>
        <v>91</v>
      </c>
      <c r="L12" s="146" t="s">
        <v>651</v>
      </c>
    </row>
    <row r="13" spans="1:182" s="167" customFormat="1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G13" s="146">
        <v>18</v>
      </c>
      <c r="H13" s="146"/>
      <c r="I13" s="146"/>
      <c r="J13" s="145"/>
      <c r="K13" s="145"/>
      <c r="L13" s="146"/>
      <c r="M13" s="146"/>
      <c r="N13" s="146"/>
      <c r="O13" s="146"/>
      <c r="P13" s="146"/>
      <c r="Q13" s="146"/>
      <c r="R13" s="146"/>
      <c r="S13" s="146"/>
      <c r="T13" s="146"/>
      <c r="U13" s="146"/>
      <c r="V13" s="146"/>
      <c r="W13" s="146"/>
      <c r="X13" s="146"/>
      <c r="Y13" s="146"/>
      <c r="Z13" s="146"/>
      <c r="AA13" s="146"/>
      <c r="AB13" s="146"/>
      <c r="AC13" s="146"/>
      <c r="AD13" s="146"/>
      <c r="AE13" s="146"/>
      <c r="AF13" s="146"/>
      <c r="AG13" s="146"/>
      <c r="AH13" s="146"/>
      <c r="AI13" s="146"/>
      <c r="AJ13" s="146"/>
      <c r="AK13" s="146"/>
      <c r="AL13" s="146"/>
      <c r="AM13" s="146"/>
      <c r="AN13" s="146"/>
      <c r="AO13" s="146"/>
      <c r="AP13" s="146"/>
      <c r="AQ13" s="146"/>
      <c r="AR13" s="146"/>
      <c r="AS13" s="146"/>
      <c r="AT13" s="146"/>
      <c r="AU13" s="146"/>
      <c r="AV13" s="146"/>
      <c r="AW13" s="146"/>
      <c r="AX13" s="146"/>
      <c r="AY13" s="146"/>
      <c r="AZ13" s="146"/>
      <c r="BA13" s="146"/>
      <c r="BB13" s="146"/>
      <c r="BC13" s="146"/>
      <c r="BD13" s="146"/>
      <c r="BE13" s="146"/>
      <c r="BF13" s="146"/>
      <c r="BG13" s="146"/>
      <c r="BH13" s="146"/>
      <c r="BI13" s="146"/>
      <c r="BJ13" s="146"/>
      <c r="BK13" s="146"/>
      <c r="BL13" s="146"/>
      <c r="BM13" s="146"/>
      <c r="BN13" s="146"/>
      <c r="BO13" s="146"/>
      <c r="BP13" s="146"/>
      <c r="BQ13" s="146"/>
      <c r="BR13" s="146"/>
      <c r="BS13" s="146"/>
      <c r="BT13" s="146"/>
      <c r="BU13" s="146"/>
      <c r="BV13" s="146"/>
      <c r="BW13" s="146"/>
      <c r="BX13" s="146"/>
      <c r="BY13" s="146"/>
      <c r="BZ13" s="146"/>
      <c r="CA13" s="146"/>
      <c r="CB13" s="146"/>
      <c r="CC13" s="146"/>
      <c r="CD13" s="146"/>
      <c r="CE13" s="146"/>
      <c r="CF13" s="146"/>
      <c r="CG13" s="146"/>
      <c r="CH13" s="146"/>
      <c r="CI13" s="146"/>
      <c r="CJ13" s="146"/>
      <c r="CK13" s="146"/>
      <c r="CL13" s="146"/>
      <c r="CM13" s="146"/>
      <c r="CN13" s="146"/>
      <c r="CO13" s="146"/>
      <c r="CP13" s="146"/>
      <c r="CQ13" s="146"/>
      <c r="CR13" s="146"/>
      <c r="CS13" s="146"/>
      <c r="CT13" s="146"/>
      <c r="CU13" s="146"/>
      <c r="CV13" s="146"/>
      <c r="CW13" s="146"/>
      <c r="CX13" s="146"/>
      <c r="CY13" s="146"/>
      <c r="CZ13" s="146"/>
      <c r="DA13" s="146"/>
      <c r="DB13" s="146"/>
      <c r="DC13" s="146"/>
      <c r="DD13" s="146"/>
      <c r="DE13" s="146"/>
      <c r="DF13" s="146"/>
      <c r="DG13" s="146"/>
      <c r="DH13" s="146"/>
      <c r="DI13" s="146"/>
      <c r="DJ13" s="146"/>
      <c r="DK13" s="146"/>
      <c r="DL13" s="146"/>
      <c r="DM13" s="146"/>
      <c r="DN13" s="146"/>
      <c r="DO13" s="146"/>
      <c r="DP13" s="146"/>
      <c r="DQ13" s="146"/>
      <c r="DR13" s="146"/>
      <c r="DS13" s="146"/>
      <c r="DT13" s="146"/>
      <c r="DU13" s="146"/>
      <c r="DV13" s="146"/>
      <c r="DW13" s="146"/>
      <c r="DX13" s="146"/>
      <c r="DY13" s="146"/>
      <c r="DZ13" s="146"/>
      <c r="EA13" s="146"/>
      <c r="EB13" s="146"/>
      <c r="EC13" s="146"/>
      <c r="ED13" s="146"/>
      <c r="EE13" s="146"/>
      <c r="EF13" s="146"/>
      <c r="EG13" s="146"/>
      <c r="EH13" s="146"/>
      <c r="EI13" s="146"/>
      <c r="EJ13" s="146"/>
      <c r="EK13" s="146"/>
      <c r="EL13" s="146"/>
      <c r="EM13" s="146"/>
      <c r="EN13" s="146"/>
      <c r="EO13" s="146"/>
      <c r="EP13" s="146"/>
      <c r="EQ13" s="146"/>
      <c r="ER13" s="146"/>
      <c r="ES13" s="146"/>
      <c r="ET13" s="146"/>
      <c r="EU13" s="146"/>
      <c r="EV13" s="146"/>
      <c r="EW13" s="146"/>
      <c r="EX13" s="146"/>
      <c r="EY13" s="146"/>
      <c r="EZ13" s="146"/>
      <c r="FA13" s="146"/>
      <c r="FB13" s="146"/>
      <c r="FC13" s="146"/>
      <c r="FD13" s="146"/>
      <c r="FE13" s="146"/>
      <c r="FF13" s="146"/>
      <c r="FG13" s="146"/>
      <c r="FH13" s="146"/>
      <c r="FI13" s="146"/>
      <c r="FJ13" s="146"/>
      <c r="FK13" s="146"/>
      <c r="FL13" s="146"/>
      <c r="FM13" s="146"/>
      <c r="FN13" s="146"/>
      <c r="FO13" s="146"/>
      <c r="FP13" s="146"/>
      <c r="FQ13" s="146"/>
      <c r="FR13" s="146"/>
      <c r="FS13" s="146"/>
      <c r="FT13" s="146"/>
      <c r="FU13" s="146"/>
      <c r="FV13" s="146"/>
      <c r="FW13" s="146"/>
      <c r="FX13" s="146"/>
      <c r="FY13" s="146"/>
      <c r="FZ13" s="146"/>
    </row>
    <row r="14" spans="1:182" s="167" customFormat="1" x14ac:dyDescent="0.2">
      <c r="A14" s="165" t="s">
        <v>13</v>
      </c>
      <c r="B14" s="165">
        <v>170.89</v>
      </c>
      <c r="C14" s="165">
        <f>B14</f>
        <v>170.89</v>
      </c>
      <c r="D14" s="146"/>
      <c r="E14" s="147"/>
      <c r="F14" s="145"/>
      <c r="G14" s="146">
        <v>18</v>
      </c>
      <c r="H14" s="147"/>
      <c r="I14" s="146"/>
      <c r="J14" s="146"/>
      <c r="K14" s="146"/>
      <c r="L14" s="146"/>
      <c r="M14" s="146"/>
      <c r="N14" s="146"/>
      <c r="O14" s="146"/>
      <c r="P14" s="146"/>
      <c r="Q14" s="146"/>
      <c r="R14" s="146"/>
      <c r="S14" s="146"/>
      <c r="T14" s="146"/>
      <c r="U14" s="146"/>
      <c r="V14" s="146"/>
      <c r="W14" s="146"/>
      <c r="X14" s="146"/>
      <c r="Y14" s="146"/>
      <c r="Z14" s="146"/>
      <c r="AA14" s="146"/>
      <c r="AB14" s="146"/>
      <c r="AC14" s="146"/>
      <c r="AD14" s="146"/>
      <c r="AE14" s="146"/>
      <c r="AF14" s="146"/>
      <c r="AG14" s="146"/>
      <c r="AH14" s="146"/>
      <c r="AI14" s="146"/>
      <c r="AJ14" s="146"/>
      <c r="AK14" s="146"/>
      <c r="AL14" s="146"/>
      <c r="AM14" s="146"/>
      <c r="AN14" s="146"/>
      <c r="AO14" s="146"/>
      <c r="AP14" s="146"/>
      <c r="AQ14" s="146"/>
      <c r="AR14" s="146"/>
      <c r="AS14" s="146"/>
      <c r="AT14" s="146"/>
      <c r="AU14" s="146"/>
      <c r="AV14" s="146"/>
      <c r="AW14" s="146"/>
      <c r="AX14" s="146"/>
      <c r="AY14" s="146"/>
      <c r="AZ14" s="146"/>
      <c r="BA14" s="146"/>
      <c r="BB14" s="146"/>
      <c r="BC14" s="146"/>
      <c r="BD14" s="146"/>
      <c r="BE14" s="146"/>
      <c r="BF14" s="146"/>
      <c r="BG14" s="146"/>
      <c r="BH14" s="146"/>
      <c r="BI14" s="146"/>
      <c r="BJ14" s="146"/>
      <c r="BK14" s="146"/>
      <c r="BL14" s="146"/>
      <c r="BM14" s="146"/>
      <c r="BN14" s="146"/>
      <c r="BO14" s="146"/>
      <c r="BP14" s="146"/>
      <c r="BQ14" s="146"/>
      <c r="BR14" s="146"/>
      <c r="BS14" s="146"/>
      <c r="BT14" s="146"/>
      <c r="BU14" s="146"/>
      <c r="BV14" s="146"/>
      <c r="BW14" s="146"/>
      <c r="BX14" s="146"/>
      <c r="BY14" s="146"/>
      <c r="BZ14" s="146"/>
      <c r="CA14" s="146"/>
      <c r="CB14" s="146"/>
      <c r="CC14" s="146"/>
      <c r="CD14" s="146"/>
      <c r="CE14" s="146"/>
      <c r="CF14" s="146"/>
      <c r="CG14" s="146"/>
      <c r="CH14" s="146"/>
      <c r="CI14" s="146"/>
      <c r="CJ14" s="146"/>
      <c r="CK14" s="146"/>
      <c r="CL14" s="146"/>
      <c r="CM14" s="146"/>
      <c r="CN14" s="146"/>
      <c r="CO14" s="146"/>
      <c r="CP14" s="146"/>
      <c r="CQ14" s="146"/>
      <c r="CR14" s="146"/>
      <c r="CS14" s="146"/>
      <c r="CT14" s="146"/>
      <c r="CU14" s="146"/>
      <c r="CV14" s="146"/>
      <c r="CW14" s="146"/>
      <c r="CX14" s="146"/>
      <c r="CY14" s="146"/>
      <c r="CZ14" s="146"/>
      <c r="DA14" s="146"/>
      <c r="DB14" s="146"/>
      <c r="DC14" s="146"/>
      <c r="DD14" s="146"/>
      <c r="DE14" s="146"/>
      <c r="DF14" s="146"/>
      <c r="DG14" s="146"/>
      <c r="DH14" s="146"/>
      <c r="DI14" s="146"/>
      <c r="DJ14" s="146"/>
      <c r="DK14" s="146"/>
      <c r="DL14" s="146"/>
      <c r="DM14" s="146"/>
      <c r="DN14" s="146"/>
      <c r="DO14" s="146"/>
      <c r="DP14" s="146"/>
      <c r="DQ14" s="146"/>
      <c r="DR14" s="146"/>
      <c r="DS14" s="146"/>
      <c r="DT14" s="146"/>
      <c r="DU14" s="146"/>
      <c r="DV14" s="146"/>
      <c r="DW14" s="146"/>
      <c r="DX14" s="146"/>
      <c r="DY14" s="146"/>
      <c r="DZ14" s="146"/>
      <c r="EA14" s="146"/>
      <c r="EB14" s="146"/>
      <c r="EC14" s="146"/>
      <c r="ED14" s="146"/>
      <c r="EE14" s="146"/>
      <c r="EF14" s="146"/>
      <c r="EG14" s="146"/>
      <c r="EH14" s="146"/>
      <c r="EI14" s="146"/>
      <c r="EJ14" s="146"/>
      <c r="EK14" s="146"/>
      <c r="EL14" s="146"/>
      <c r="EM14" s="146"/>
      <c r="EN14" s="146"/>
      <c r="EO14" s="146"/>
      <c r="EP14" s="146"/>
      <c r="EQ14" s="146"/>
      <c r="ER14" s="146"/>
      <c r="ES14" s="146"/>
      <c r="ET14" s="146"/>
      <c r="EU14" s="146"/>
      <c r="EV14" s="146"/>
      <c r="EW14" s="146"/>
      <c r="EX14" s="146"/>
      <c r="EY14" s="146"/>
      <c r="EZ14" s="146"/>
      <c r="FA14" s="146"/>
      <c r="FB14" s="146"/>
      <c r="FC14" s="146"/>
      <c r="FD14" s="146"/>
      <c r="FE14" s="146"/>
      <c r="FF14" s="146"/>
      <c r="FG14" s="146"/>
      <c r="FH14" s="146"/>
      <c r="FI14" s="146"/>
      <c r="FJ14" s="146"/>
      <c r="FK14" s="146"/>
      <c r="FL14" s="146"/>
      <c r="FM14" s="146"/>
      <c r="FN14" s="146"/>
      <c r="FO14" s="146"/>
      <c r="FP14" s="146"/>
      <c r="FQ14" s="146"/>
      <c r="FR14" s="146"/>
      <c r="FS14" s="146"/>
      <c r="FT14" s="146"/>
      <c r="FU14" s="146"/>
      <c r="FV14" s="146"/>
      <c r="FW14" s="146"/>
      <c r="FX14" s="146"/>
      <c r="FY14" s="146"/>
      <c r="FZ14" s="146"/>
    </row>
    <row r="15" spans="1:182" s="167" customFormat="1" x14ac:dyDescent="0.2">
      <c r="A15" s="165" t="s">
        <v>548</v>
      </c>
      <c r="B15" s="165">
        <v>82.74</v>
      </c>
      <c r="C15" s="165">
        <f>B15</f>
        <v>82.74</v>
      </c>
      <c r="D15" s="146"/>
      <c r="E15" s="146"/>
      <c r="F15" s="146"/>
      <c r="G15" s="146">
        <f>SUM(G12:G14)</f>
        <v>145</v>
      </c>
      <c r="H15" s="146"/>
      <c r="I15" s="146"/>
      <c r="J15" s="145"/>
      <c r="K15" s="145"/>
      <c r="L15" s="146"/>
      <c r="M15" s="146"/>
      <c r="N15" s="146"/>
      <c r="O15" s="146"/>
      <c r="P15" s="146"/>
      <c r="Q15" s="146"/>
      <c r="R15" s="146"/>
      <c r="S15" s="146"/>
      <c r="T15" s="146"/>
      <c r="U15" s="146"/>
      <c r="V15" s="146"/>
      <c r="W15" s="146"/>
      <c r="X15" s="146"/>
      <c r="Y15" s="146"/>
      <c r="Z15" s="146"/>
      <c r="AA15" s="146"/>
      <c r="AB15" s="146"/>
      <c r="AC15" s="146"/>
      <c r="AD15" s="146"/>
      <c r="AE15" s="146"/>
      <c r="AF15" s="146"/>
      <c r="AG15" s="146"/>
      <c r="AH15" s="146"/>
      <c r="AI15" s="146"/>
      <c r="AJ15" s="146"/>
      <c r="AK15" s="146"/>
      <c r="AL15" s="146"/>
      <c r="AM15" s="146"/>
      <c r="AN15" s="146"/>
      <c r="AO15" s="146"/>
      <c r="AP15" s="146"/>
      <c r="AQ15" s="146"/>
      <c r="AR15" s="146"/>
      <c r="AS15" s="146"/>
      <c r="AT15" s="146"/>
      <c r="AU15" s="146"/>
      <c r="AV15" s="146"/>
      <c r="AW15" s="146"/>
      <c r="AX15" s="146"/>
      <c r="AY15" s="146"/>
      <c r="AZ15" s="146"/>
      <c r="BA15" s="146"/>
      <c r="BB15" s="146"/>
      <c r="BC15" s="146"/>
      <c r="BD15" s="146"/>
      <c r="BE15" s="146"/>
      <c r="BF15" s="146"/>
      <c r="BG15" s="146"/>
      <c r="BH15" s="146"/>
      <c r="BI15" s="146"/>
      <c r="BJ15" s="146"/>
      <c r="BK15" s="146"/>
      <c r="BL15" s="146"/>
      <c r="BM15" s="146"/>
      <c r="BN15" s="146"/>
      <c r="BO15" s="146"/>
      <c r="BP15" s="146"/>
      <c r="BQ15" s="146"/>
      <c r="BR15" s="146"/>
      <c r="BS15" s="146"/>
      <c r="BT15" s="146"/>
      <c r="BU15" s="146"/>
      <c r="BV15" s="146"/>
      <c r="BW15" s="146"/>
      <c r="BX15" s="146"/>
      <c r="BY15" s="146"/>
      <c r="BZ15" s="146"/>
      <c r="CA15" s="146"/>
      <c r="CB15" s="146"/>
      <c r="CC15" s="146"/>
      <c r="CD15" s="146"/>
      <c r="CE15" s="146"/>
      <c r="CF15" s="146"/>
      <c r="CG15" s="146"/>
      <c r="CH15" s="146"/>
      <c r="CI15" s="146"/>
      <c r="CJ15" s="146"/>
      <c r="CK15" s="146"/>
      <c r="CL15" s="146"/>
      <c r="CM15" s="146"/>
      <c r="CN15" s="146"/>
      <c r="CO15" s="146"/>
      <c r="CP15" s="146"/>
      <c r="CQ15" s="146"/>
      <c r="CR15" s="146"/>
      <c r="CS15" s="146"/>
      <c r="CT15" s="146"/>
      <c r="CU15" s="146"/>
      <c r="CV15" s="146"/>
      <c r="CW15" s="146"/>
      <c r="CX15" s="146"/>
      <c r="CY15" s="146"/>
      <c r="CZ15" s="146"/>
      <c r="DA15" s="146"/>
      <c r="DB15" s="146"/>
      <c r="DC15" s="146"/>
      <c r="DD15" s="146"/>
      <c r="DE15" s="146"/>
      <c r="DF15" s="146"/>
      <c r="DG15" s="146"/>
      <c r="DH15" s="146"/>
      <c r="DI15" s="146"/>
      <c r="DJ15" s="146"/>
      <c r="DK15" s="146"/>
      <c r="DL15" s="146"/>
      <c r="DM15" s="146"/>
      <c r="DN15" s="146"/>
      <c r="DO15" s="146"/>
      <c r="DP15" s="146"/>
      <c r="DQ15" s="146"/>
      <c r="DR15" s="146"/>
      <c r="DS15" s="146"/>
      <c r="DT15" s="146"/>
      <c r="DU15" s="146"/>
      <c r="DV15" s="146"/>
      <c r="DW15" s="146"/>
      <c r="DX15" s="146"/>
      <c r="DY15" s="146"/>
      <c r="DZ15" s="146"/>
      <c r="EA15" s="146"/>
      <c r="EB15" s="146"/>
      <c r="EC15" s="146"/>
      <c r="ED15" s="146"/>
      <c r="EE15" s="146"/>
      <c r="EF15" s="146"/>
      <c r="EG15" s="146"/>
      <c r="EH15" s="146"/>
      <c r="EI15" s="146"/>
      <c r="EJ15" s="146"/>
      <c r="EK15" s="146"/>
      <c r="EL15" s="146"/>
      <c r="EM15" s="146"/>
      <c r="EN15" s="146"/>
      <c r="EO15" s="146"/>
      <c r="EP15" s="146"/>
      <c r="EQ15" s="146"/>
      <c r="ER15" s="146"/>
      <c r="ES15" s="146"/>
      <c r="ET15" s="146"/>
      <c r="EU15" s="146"/>
      <c r="EV15" s="146"/>
      <c r="EW15" s="146"/>
      <c r="EX15" s="146"/>
      <c r="EY15" s="146"/>
      <c r="EZ15" s="146"/>
      <c r="FA15" s="146"/>
      <c r="FB15" s="146"/>
      <c r="FC15" s="146"/>
      <c r="FD15" s="146"/>
      <c r="FE15" s="146"/>
      <c r="FF15" s="146"/>
      <c r="FG15" s="146"/>
      <c r="FH15" s="146"/>
      <c r="FI15" s="146"/>
      <c r="FJ15" s="146"/>
      <c r="FK15" s="146"/>
      <c r="FL15" s="146"/>
      <c r="FM15" s="146"/>
      <c r="FN15" s="146"/>
      <c r="FO15" s="146"/>
      <c r="FP15" s="146"/>
      <c r="FQ15" s="146"/>
      <c r="FR15" s="146"/>
      <c r="FS15" s="146"/>
      <c r="FT15" s="146"/>
      <c r="FU15" s="146"/>
      <c r="FV15" s="146"/>
      <c r="FW15" s="146"/>
      <c r="FX15" s="146"/>
      <c r="FY15" s="146"/>
      <c r="FZ15" s="146"/>
    </row>
    <row r="16" spans="1:182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82" x14ac:dyDescent="0.2">
      <c r="A17" s="165" t="s">
        <v>26</v>
      </c>
      <c r="B17" s="165">
        <f>I48</f>
        <v>325.52687900000001</v>
      </c>
      <c r="C17" s="165">
        <f>B17</f>
        <v>325.52687900000001</v>
      </c>
    </row>
    <row r="18" spans="1:182" x14ac:dyDescent="0.2">
      <c r="A18" s="165" t="s">
        <v>419</v>
      </c>
      <c r="B18" s="165">
        <v>100</v>
      </c>
      <c r="C18" s="165">
        <f t="shared" ref="C18:C21" si="1">B18</f>
        <v>100</v>
      </c>
    </row>
    <row r="19" spans="1:182" ht="12" customHeight="1" x14ac:dyDescent="0.2">
      <c r="A19" s="165" t="s">
        <v>628</v>
      </c>
      <c r="B19" s="165">
        <v>200</v>
      </c>
      <c r="C19" s="165">
        <f t="shared" si="1"/>
        <v>200</v>
      </c>
      <c r="K19" s="197"/>
    </row>
    <row r="20" spans="1:182" ht="13.5" customHeight="1" x14ac:dyDescent="0.2">
      <c r="A20" s="196" t="s">
        <v>286</v>
      </c>
      <c r="B20" s="165">
        <v>85</v>
      </c>
      <c r="C20" s="165">
        <f t="shared" si="1"/>
        <v>85</v>
      </c>
      <c r="K20" s="197"/>
    </row>
    <row r="21" spans="1:182" x14ac:dyDescent="0.2">
      <c r="A21" s="196" t="s">
        <v>587</v>
      </c>
      <c r="B21" s="165">
        <f>(184+75)/4</f>
        <v>64.75</v>
      </c>
      <c r="C21" s="165">
        <f t="shared" si="1"/>
        <v>64.75</v>
      </c>
    </row>
    <row r="22" spans="1:182" s="167" customFormat="1" x14ac:dyDescent="0.2">
      <c r="A22" s="165" t="s">
        <v>32</v>
      </c>
      <c r="B22" s="165">
        <v>0</v>
      </c>
      <c r="C22" s="165">
        <v>0</v>
      </c>
      <c r="D22" s="146"/>
      <c r="E22" s="145"/>
      <c r="F22" s="146"/>
      <c r="G22" s="146"/>
      <c r="H22" s="145"/>
      <c r="I22" s="145"/>
      <c r="J22" s="146"/>
      <c r="K22" s="146"/>
      <c r="L22" s="146"/>
      <c r="M22" s="146"/>
      <c r="N22" s="146"/>
      <c r="O22" s="146"/>
      <c r="P22" s="146"/>
      <c r="Q22" s="146"/>
      <c r="R22" s="146"/>
      <c r="S22" s="146"/>
      <c r="T22" s="146"/>
      <c r="U22" s="146"/>
      <c r="V22" s="146"/>
      <c r="W22" s="146"/>
      <c r="X22" s="146"/>
      <c r="Y22" s="146"/>
      <c r="Z22" s="146"/>
      <c r="AA22" s="146"/>
      <c r="AB22" s="146"/>
      <c r="AC22" s="146"/>
      <c r="AD22" s="146"/>
      <c r="AE22" s="146"/>
      <c r="AF22" s="146"/>
      <c r="AG22" s="146"/>
      <c r="AH22" s="146"/>
      <c r="AI22" s="146"/>
      <c r="AJ22" s="146"/>
      <c r="AK22" s="146"/>
      <c r="AL22" s="146"/>
      <c r="AM22" s="146"/>
      <c r="AN22" s="146"/>
      <c r="AO22" s="146"/>
      <c r="AP22" s="146"/>
      <c r="AQ22" s="146"/>
      <c r="AR22" s="146"/>
      <c r="AS22" s="146"/>
      <c r="AT22" s="146"/>
      <c r="AU22" s="146"/>
      <c r="AV22" s="146"/>
      <c r="AW22" s="146"/>
      <c r="AX22" s="146"/>
      <c r="AY22" s="146"/>
      <c r="AZ22" s="146"/>
      <c r="BA22" s="146"/>
      <c r="BB22" s="146"/>
      <c r="BC22" s="146"/>
      <c r="BD22" s="146"/>
      <c r="BE22" s="146"/>
      <c r="BF22" s="146"/>
      <c r="BG22" s="146"/>
      <c r="BH22" s="146"/>
      <c r="BI22" s="146"/>
      <c r="BJ22" s="146"/>
      <c r="BK22" s="146"/>
      <c r="BL22" s="146"/>
      <c r="BM22" s="146"/>
      <c r="BN22" s="146"/>
      <c r="BO22" s="146"/>
      <c r="BP22" s="146"/>
      <c r="BQ22" s="146"/>
      <c r="BR22" s="146"/>
      <c r="BS22" s="146"/>
      <c r="BT22" s="146"/>
      <c r="BU22" s="146"/>
      <c r="BV22" s="146"/>
      <c r="BW22" s="146"/>
      <c r="BX22" s="146"/>
      <c r="BY22" s="146"/>
      <c r="BZ22" s="146"/>
      <c r="CA22" s="146"/>
      <c r="CB22" s="146"/>
      <c r="CC22" s="146"/>
      <c r="CD22" s="146"/>
      <c r="CE22" s="146"/>
      <c r="CF22" s="146"/>
      <c r="CG22" s="146"/>
      <c r="CH22" s="146"/>
      <c r="CI22" s="146"/>
      <c r="CJ22" s="146"/>
      <c r="CK22" s="146"/>
      <c r="CL22" s="146"/>
      <c r="CM22" s="146"/>
      <c r="CN22" s="146"/>
      <c r="CO22" s="146"/>
      <c r="CP22" s="146"/>
      <c r="CQ22" s="146"/>
      <c r="CR22" s="146"/>
      <c r="CS22" s="146"/>
      <c r="CT22" s="146"/>
      <c r="CU22" s="146"/>
      <c r="CV22" s="146"/>
      <c r="CW22" s="146"/>
      <c r="CX22" s="146"/>
      <c r="CY22" s="146"/>
      <c r="CZ22" s="146"/>
      <c r="DA22" s="146"/>
      <c r="DB22" s="146"/>
      <c r="DC22" s="146"/>
      <c r="DD22" s="146"/>
      <c r="DE22" s="146"/>
      <c r="DF22" s="146"/>
      <c r="DG22" s="146"/>
      <c r="DH22" s="146"/>
      <c r="DI22" s="146"/>
      <c r="DJ22" s="146"/>
      <c r="DK22" s="146"/>
      <c r="DL22" s="146"/>
      <c r="DM22" s="146"/>
      <c r="DN22" s="146"/>
      <c r="DO22" s="146"/>
      <c r="DP22" s="146"/>
      <c r="DQ22" s="146"/>
      <c r="DR22" s="146"/>
      <c r="DS22" s="146"/>
      <c r="DT22" s="146"/>
      <c r="DU22" s="146"/>
      <c r="DV22" s="146"/>
      <c r="DW22" s="146"/>
      <c r="DX22" s="146"/>
      <c r="DY22" s="146"/>
      <c r="DZ22" s="146"/>
      <c r="EA22" s="146"/>
      <c r="EB22" s="146"/>
      <c r="EC22" s="146"/>
      <c r="ED22" s="146"/>
      <c r="EE22" s="146"/>
      <c r="EF22" s="146"/>
      <c r="EG22" s="146"/>
      <c r="EH22" s="146"/>
      <c r="EI22" s="146"/>
      <c r="EJ22" s="146"/>
      <c r="EK22" s="146"/>
      <c r="EL22" s="146"/>
      <c r="EM22" s="146"/>
      <c r="EN22" s="146"/>
      <c r="EO22" s="146"/>
      <c r="EP22" s="146"/>
      <c r="EQ22" s="146"/>
      <c r="ER22" s="146"/>
      <c r="ES22" s="146"/>
      <c r="ET22" s="146"/>
      <c r="EU22" s="146"/>
      <c r="EV22" s="146"/>
      <c r="EW22" s="146"/>
      <c r="EX22" s="146"/>
      <c r="EY22" s="146"/>
      <c r="EZ22" s="146"/>
      <c r="FA22" s="146"/>
      <c r="FB22" s="146"/>
      <c r="FC22" s="146"/>
      <c r="FD22" s="146"/>
      <c r="FE22" s="146"/>
      <c r="FF22" s="146"/>
      <c r="FG22" s="146"/>
      <c r="FH22" s="146"/>
      <c r="FI22" s="146"/>
      <c r="FJ22" s="146"/>
      <c r="FK22" s="146"/>
      <c r="FL22" s="146"/>
      <c r="FM22" s="146"/>
      <c r="FN22" s="146"/>
      <c r="FO22" s="146"/>
      <c r="FP22" s="146"/>
      <c r="FQ22" s="146"/>
      <c r="FR22" s="146"/>
      <c r="FS22" s="146"/>
      <c r="FT22" s="146"/>
      <c r="FU22" s="146"/>
      <c r="FV22" s="146"/>
      <c r="FW22" s="146"/>
      <c r="FX22" s="146"/>
      <c r="FY22" s="146"/>
      <c r="FZ22" s="146"/>
    </row>
    <row r="23" spans="1:182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82" x14ac:dyDescent="0.2">
      <c r="A24" s="147" t="s">
        <v>291</v>
      </c>
      <c r="B24" s="147">
        <f>0.5*H2+20</f>
        <v>30.5</v>
      </c>
      <c r="C24" s="147">
        <f>0.5*G2+20</f>
        <v>29.5</v>
      </c>
    </row>
    <row r="25" spans="1:182" x14ac:dyDescent="0.2">
      <c r="A25" s="147" t="s">
        <v>430</v>
      </c>
      <c r="B25" s="147">
        <f>8.5*H2</f>
        <v>178.5</v>
      </c>
      <c r="C25" s="147">
        <f>8.5*G2</f>
        <v>161.5</v>
      </c>
      <c r="D25" s="147"/>
      <c r="E25" s="147"/>
      <c r="F25" s="147"/>
      <c r="G25" s="147"/>
      <c r="H25" s="147"/>
      <c r="I25" s="147"/>
      <c r="O25" s="145"/>
    </row>
    <row r="26" spans="1:182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/>
      <c r="H26" s="147"/>
      <c r="I26" s="147"/>
      <c r="O26" s="145"/>
    </row>
    <row r="27" spans="1:182" x14ac:dyDescent="0.2">
      <c r="A27" s="147" t="s">
        <v>87</v>
      </c>
      <c r="B27" s="147">
        <f>(1)*H2+(2.5/2)*H2   +  (2.5/2)*H2+(1.7)*H2</f>
        <v>109.19999999999999</v>
      </c>
      <c r="C27" s="147">
        <f>(1)*G2+(2.5/2)*G2   +  (2.5/2)*G2+(1.7)*G2</f>
        <v>98.8</v>
      </c>
      <c r="D27" s="147"/>
      <c r="E27" s="147"/>
      <c r="F27" s="147"/>
      <c r="G27" s="147"/>
      <c r="O27" s="145"/>
    </row>
    <row r="28" spans="1:182" x14ac:dyDescent="0.2">
      <c r="A28" s="147" t="s">
        <v>89</v>
      </c>
      <c r="B28" s="147">
        <f>5*H2</f>
        <v>105</v>
      </c>
      <c r="C28" s="147">
        <f>5*G2</f>
        <v>95</v>
      </c>
      <c r="D28" s="147"/>
      <c r="E28" s="147"/>
      <c r="J28" s="147"/>
      <c r="K28" s="147"/>
      <c r="L28" s="147"/>
      <c r="M28" s="147"/>
      <c r="O28" s="145"/>
    </row>
    <row r="29" spans="1:182" s="167" customFormat="1" x14ac:dyDescent="0.2">
      <c r="A29" s="168" t="s">
        <v>61</v>
      </c>
      <c r="B29" s="165">
        <v>0</v>
      </c>
      <c r="C29" s="165">
        <v>0</v>
      </c>
      <c r="D29" s="146"/>
      <c r="E29" s="146"/>
      <c r="F29" s="146"/>
      <c r="G29" s="147"/>
      <c r="H29" s="147"/>
      <c r="I29" s="147"/>
      <c r="J29" s="147"/>
      <c r="K29" s="147"/>
      <c r="L29" s="147"/>
      <c r="M29" s="146"/>
      <c r="N29" s="146"/>
      <c r="O29" s="146"/>
      <c r="P29" s="146"/>
      <c r="Q29" s="146"/>
      <c r="R29" s="146"/>
      <c r="S29" s="146"/>
      <c r="T29" s="146"/>
      <c r="U29" s="146"/>
      <c r="V29" s="146"/>
      <c r="W29" s="146"/>
      <c r="X29" s="146"/>
      <c r="Y29" s="146"/>
      <c r="Z29" s="146"/>
      <c r="AA29" s="146"/>
      <c r="AB29" s="146"/>
      <c r="AC29" s="146"/>
      <c r="AD29" s="146"/>
      <c r="AE29" s="146"/>
      <c r="AF29" s="146"/>
      <c r="AG29" s="146"/>
      <c r="AH29" s="146"/>
      <c r="AI29" s="146"/>
      <c r="AJ29" s="146"/>
      <c r="AK29" s="146"/>
      <c r="AL29" s="146"/>
      <c r="AM29" s="146"/>
      <c r="AN29" s="146"/>
      <c r="AO29" s="146"/>
      <c r="AP29" s="146"/>
      <c r="AQ29" s="146"/>
      <c r="AR29" s="146"/>
      <c r="AS29" s="146"/>
      <c r="AT29" s="146"/>
      <c r="AU29" s="146"/>
      <c r="AV29" s="146"/>
      <c r="AW29" s="146"/>
      <c r="AX29" s="146"/>
      <c r="AY29" s="146"/>
      <c r="AZ29" s="146"/>
      <c r="BA29" s="146"/>
      <c r="BB29" s="146"/>
      <c r="BC29" s="146"/>
      <c r="BD29" s="146"/>
      <c r="BE29" s="146"/>
      <c r="BF29" s="146"/>
      <c r="BG29" s="146"/>
      <c r="BH29" s="146"/>
      <c r="BI29" s="146"/>
      <c r="BJ29" s="146"/>
      <c r="BK29" s="146"/>
      <c r="BL29" s="146"/>
      <c r="BM29" s="146"/>
      <c r="BN29" s="146"/>
      <c r="BO29" s="146"/>
      <c r="BP29" s="146"/>
      <c r="BQ29" s="146"/>
      <c r="BR29" s="146"/>
      <c r="BS29" s="146"/>
      <c r="BT29" s="146"/>
      <c r="BU29" s="146"/>
      <c r="BV29" s="146"/>
      <c r="BW29" s="146"/>
      <c r="BX29" s="146"/>
      <c r="BY29" s="146"/>
      <c r="BZ29" s="146"/>
      <c r="CA29" s="146"/>
      <c r="CB29" s="146"/>
      <c r="CC29" s="146"/>
      <c r="CD29" s="146"/>
      <c r="CE29" s="146"/>
      <c r="CF29" s="146"/>
      <c r="CG29" s="146"/>
      <c r="CH29" s="146"/>
      <c r="CI29" s="146"/>
      <c r="CJ29" s="146"/>
      <c r="CK29" s="146"/>
      <c r="CL29" s="146"/>
      <c r="CM29" s="146"/>
      <c r="CN29" s="146"/>
      <c r="CO29" s="146"/>
      <c r="CP29" s="146"/>
      <c r="CQ29" s="146"/>
      <c r="CR29" s="146"/>
      <c r="CS29" s="146"/>
      <c r="CT29" s="146"/>
      <c r="CU29" s="146"/>
      <c r="CV29" s="146"/>
      <c r="CW29" s="146"/>
      <c r="CX29" s="146"/>
      <c r="CY29" s="146"/>
      <c r="CZ29" s="146"/>
      <c r="DA29" s="146"/>
      <c r="DB29" s="146"/>
      <c r="DC29" s="146"/>
      <c r="DD29" s="146"/>
      <c r="DE29" s="146"/>
      <c r="DF29" s="146"/>
      <c r="DG29" s="146"/>
      <c r="DH29" s="146"/>
      <c r="DI29" s="146"/>
      <c r="DJ29" s="146"/>
      <c r="DK29" s="146"/>
      <c r="DL29" s="146"/>
      <c r="DM29" s="146"/>
      <c r="DN29" s="146"/>
      <c r="DO29" s="146"/>
      <c r="DP29" s="146"/>
      <c r="DQ29" s="146"/>
      <c r="DR29" s="146"/>
      <c r="DS29" s="146"/>
      <c r="DT29" s="146"/>
      <c r="DU29" s="146"/>
      <c r="DV29" s="146"/>
      <c r="DW29" s="146"/>
      <c r="DX29" s="146"/>
      <c r="DY29" s="146"/>
      <c r="DZ29" s="146"/>
      <c r="EA29" s="146"/>
      <c r="EB29" s="146"/>
      <c r="EC29" s="146"/>
      <c r="ED29" s="146"/>
      <c r="EE29" s="146"/>
      <c r="EF29" s="146"/>
      <c r="EG29" s="146"/>
      <c r="EH29" s="146"/>
      <c r="EI29" s="146"/>
      <c r="EJ29" s="146"/>
      <c r="EK29" s="146"/>
      <c r="EL29" s="146"/>
      <c r="EM29" s="146"/>
      <c r="EN29" s="146"/>
      <c r="EO29" s="146"/>
      <c r="EP29" s="146"/>
      <c r="EQ29" s="146"/>
      <c r="ER29" s="146"/>
      <c r="ES29" s="146"/>
      <c r="ET29" s="146"/>
      <c r="EU29" s="146"/>
      <c r="EV29" s="146"/>
      <c r="EW29" s="146"/>
      <c r="EX29" s="146"/>
      <c r="EY29" s="146"/>
      <c r="EZ29" s="146"/>
      <c r="FA29" s="146"/>
      <c r="FB29" s="146"/>
      <c r="FC29" s="146"/>
      <c r="FD29" s="146"/>
      <c r="FE29" s="146"/>
      <c r="FF29" s="146"/>
      <c r="FG29" s="146"/>
      <c r="FH29" s="146"/>
      <c r="FI29" s="146"/>
      <c r="FJ29" s="146"/>
      <c r="FK29" s="146"/>
      <c r="FL29" s="146"/>
      <c r="FM29" s="146"/>
      <c r="FN29" s="146"/>
      <c r="FO29" s="146"/>
      <c r="FP29" s="146"/>
      <c r="FQ29" s="146"/>
      <c r="FR29" s="146"/>
      <c r="FS29" s="146"/>
      <c r="FT29" s="146"/>
      <c r="FU29" s="146"/>
      <c r="FV29" s="146"/>
      <c r="FW29" s="146"/>
      <c r="FX29" s="146"/>
      <c r="FY29" s="146"/>
      <c r="FZ29" s="146"/>
    </row>
    <row r="30" spans="1:182" s="167" customFormat="1" x14ac:dyDescent="0.2">
      <c r="A30" s="168" t="s">
        <v>221</v>
      </c>
      <c r="B30" s="165">
        <v>0</v>
      </c>
      <c r="C30" s="165">
        <v>0</v>
      </c>
      <c r="D30" s="146"/>
      <c r="E30" s="151"/>
      <c r="F30" s="151"/>
      <c r="G30" s="151"/>
      <c r="H30" s="151"/>
      <c r="I30" s="151"/>
      <c r="J30" s="147"/>
      <c r="K30" s="147"/>
      <c r="L30" s="147"/>
      <c r="M30" s="146"/>
      <c r="N30" s="146"/>
      <c r="O30" s="146"/>
      <c r="P30" s="146"/>
      <c r="Q30" s="146"/>
      <c r="R30" s="146"/>
      <c r="S30" s="146"/>
      <c r="T30" s="146"/>
      <c r="U30" s="146"/>
      <c r="V30" s="146"/>
      <c r="W30" s="146"/>
      <c r="X30" s="146"/>
      <c r="Y30" s="146"/>
      <c r="Z30" s="146"/>
      <c r="AA30" s="146"/>
      <c r="AB30" s="146"/>
      <c r="AC30" s="146"/>
      <c r="AD30" s="146"/>
      <c r="AE30" s="146"/>
      <c r="AF30" s="146"/>
      <c r="AG30" s="146"/>
      <c r="AH30" s="146"/>
      <c r="AI30" s="146"/>
      <c r="AJ30" s="146"/>
      <c r="AK30" s="146"/>
      <c r="AL30" s="146"/>
      <c r="AM30" s="146"/>
      <c r="AN30" s="146"/>
      <c r="AO30" s="146"/>
      <c r="AP30" s="146"/>
      <c r="AQ30" s="146"/>
      <c r="AR30" s="146"/>
      <c r="AS30" s="146"/>
      <c r="AT30" s="146"/>
      <c r="AU30" s="146"/>
      <c r="AV30" s="146"/>
      <c r="AW30" s="146"/>
      <c r="AX30" s="146"/>
      <c r="AY30" s="146"/>
      <c r="AZ30" s="146"/>
      <c r="BA30" s="146"/>
      <c r="BB30" s="146"/>
      <c r="BC30" s="146"/>
      <c r="BD30" s="146"/>
      <c r="BE30" s="146"/>
      <c r="BF30" s="146"/>
      <c r="BG30" s="146"/>
      <c r="BH30" s="146"/>
      <c r="BI30" s="146"/>
      <c r="BJ30" s="146"/>
      <c r="BK30" s="146"/>
      <c r="BL30" s="146"/>
      <c r="BM30" s="146"/>
      <c r="BN30" s="146"/>
      <c r="BO30" s="146"/>
      <c r="BP30" s="146"/>
      <c r="BQ30" s="146"/>
      <c r="BR30" s="146"/>
      <c r="BS30" s="146"/>
      <c r="BT30" s="146"/>
      <c r="BU30" s="146"/>
      <c r="BV30" s="146"/>
      <c r="BW30" s="146"/>
      <c r="BX30" s="146"/>
      <c r="BY30" s="146"/>
      <c r="BZ30" s="146"/>
      <c r="CA30" s="146"/>
      <c r="CB30" s="146"/>
      <c r="CC30" s="146"/>
      <c r="CD30" s="146"/>
      <c r="CE30" s="146"/>
      <c r="CF30" s="146"/>
      <c r="CG30" s="146"/>
      <c r="CH30" s="146"/>
      <c r="CI30" s="146"/>
      <c r="CJ30" s="146"/>
      <c r="CK30" s="146"/>
      <c r="CL30" s="146"/>
      <c r="CM30" s="146"/>
      <c r="CN30" s="146"/>
      <c r="CO30" s="146"/>
      <c r="CP30" s="146"/>
      <c r="CQ30" s="146"/>
      <c r="CR30" s="146"/>
      <c r="CS30" s="146"/>
      <c r="CT30" s="146"/>
      <c r="CU30" s="146"/>
      <c r="CV30" s="146"/>
      <c r="CW30" s="146"/>
      <c r="CX30" s="146"/>
      <c r="CY30" s="146"/>
      <c r="CZ30" s="146"/>
      <c r="DA30" s="146"/>
      <c r="DB30" s="146"/>
      <c r="DC30" s="146"/>
      <c r="DD30" s="146"/>
      <c r="DE30" s="146"/>
      <c r="DF30" s="146"/>
      <c r="DG30" s="146"/>
      <c r="DH30" s="146"/>
      <c r="DI30" s="146"/>
      <c r="DJ30" s="146"/>
      <c r="DK30" s="146"/>
      <c r="DL30" s="146"/>
      <c r="DM30" s="146"/>
      <c r="DN30" s="146"/>
      <c r="DO30" s="146"/>
      <c r="DP30" s="146"/>
      <c r="DQ30" s="146"/>
      <c r="DR30" s="146"/>
      <c r="DS30" s="146"/>
      <c r="DT30" s="146"/>
      <c r="DU30" s="146"/>
      <c r="DV30" s="146"/>
      <c r="DW30" s="146"/>
      <c r="DX30" s="146"/>
      <c r="DY30" s="146"/>
      <c r="DZ30" s="146"/>
      <c r="EA30" s="146"/>
      <c r="EB30" s="146"/>
      <c r="EC30" s="146"/>
      <c r="ED30" s="146"/>
      <c r="EE30" s="146"/>
      <c r="EF30" s="146"/>
      <c r="EG30" s="146"/>
      <c r="EH30" s="146"/>
      <c r="EI30" s="146"/>
      <c r="EJ30" s="146"/>
      <c r="EK30" s="146"/>
      <c r="EL30" s="146"/>
      <c r="EM30" s="146"/>
      <c r="EN30" s="146"/>
      <c r="EO30" s="146"/>
      <c r="EP30" s="146"/>
      <c r="EQ30" s="146"/>
      <c r="ER30" s="146"/>
      <c r="ES30" s="146"/>
      <c r="ET30" s="146"/>
      <c r="EU30" s="146"/>
      <c r="EV30" s="146"/>
      <c r="EW30" s="146"/>
      <c r="EX30" s="146"/>
      <c r="EY30" s="146"/>
      <c r="EZ30" s="146"/>
      <c r="FA30" s="146"/>
      <c r="FB30" s="146"/>
      <c r="FC30" s="146"/>
      <c r="FD30" s="146"/>
      <c r="FE30" s="146"/>
      <c r="FF30" s="146"/>
      <c r="FG30" s="146"/>
      <c r="FH30" s="146"/>
      <c r="FI30" s="146"/>
      <c r="FJ30" s="146"/>
      <c r="FK30" s="146"/>
      <c r="FL30" s="146"/>
      <c r="FM30" s="146"/>
      <c r="FN30" s="146"/>
      <c r="FO30" s="146"/>
      <c r="FP30" s="146"/>
      <c r="FQ30" s="146"/>
      <c r="FR30" s="146"/>
      <c r="FS30" s="146"/>
      <c r="FT30" s="146"/>
      <c r="FU30" s="146"/>
      <c r="FV30" s="146"/>
      <c r="FW30" s="146"/>
      <c r="FX30" s="146"/>
      <c r="FY30" s="146"/>
      <c r="FZ30" s="146"/>
    </row>
    <row r="31" spans="1:182" s="167" customFormat="1" x14ac:dyDescent="0.2">
      <c r="A31" s="166" t="s">
        <v>112</v>
      </c>
      <c r="B31" s="165">
        <v>0</v>
      </c>
      <c r="C31" s="165">
        <v>0</v>
      </c>
      <c r="D31" s="146"/>
      <c r="E31" s="146"/>
      <c r="F31" s="145"/>
      <c r="G31" s="147"/>
      <c r="H31" s="147"/>
      <c r="I31" s="147"/>
      <c r="J31" s="147"/>
      <c r="K31" s="147"/>
      <c r="L31" s="147"/>
      <c r="M31" s="146"/>
      <c r="N31" s="146"/>
      <c r="O31" s="146"/>
      <c r="P31" s="146"/>
      <c r="Q31" s="146"/>
      <c r="R31" s="146"/>
      <c r="S31" s="146"/>
      <c r="T31" s="146"/>
      <c r="U31" s="146"/>
      <c r="V31" s="146"/>
      <c r="W31" s="146"/>
      <c r="X31" s="146"/>
      <c r="Y31" s="146"/>
      <c r="Z31" s="146"/>
      <c r="AA31" s="146"/>
      <c r="AB31" s="146"/>
      <c r="AC31" s="146"/>
      <c r="AD31" s="146"/>
      <c r="AE31" s="146"/>
      <c r="AF31" s="146"/>
      <c r="AG31" s="146"/>
      <c r="AH31" s="146"/>
      <c r="AI31" s="146"/>
      <c r="AJ31" s="146"/>
      <c r="AK31" s="146"/>
      <c r="AL31" s="146"/>
      <c r="AM31" s="146"/>
      <c r="AN31" s="146"/>
      <c r="AO31" s="146"/>
      <c r="AP31" s="146"/>
      <c r="AQ31" s="146"/>
      <c r="AR31" s="146"/>
      <c r="AS31" s="146"/>
      <c r="AT31" s="146"/>
      <c r="AU31" s="146"/>
      <c r="AV31" s="146"/>
      <c r="AW31" s="146"/>
      <c r="AX31" s="146"/>
      <c r="AY31" s="146"/>
      <c r="AZ31" s="146"/>
      <c r="BA31" s="146"/>
      <c r="BB31" s="146"/>
      <c r="BC31" s="146"/>
      <c r="BD31" s="146"/>
      <c r="BE31" s="146"/>
      <c r="BF31" s="146"/>
      <c r="BG31" s="146"/>
      <c r="BH31" s="146"/>
      <c r="BI31" s="146"/>
      <c r="BJ31" s="146"/>
      <c r="BK31" s="146"/>
      <c r="BL31" s="146"/>
      <c r="BM31" s="146"/>
      <c r="BN31" s="146"/>
      <c r="BO31" s="146"/>
      <c r="BP31" s="146"/>
      <c r="BQ31" s="146"/>
      <c r="BR31" s="146"/>
      <c r="BS31" s="146"/>
      <c r="BT31" s="146"/>
      <c r="BU31" s="146"/>
      <c r="BV31" s="146"/>
      <c r="BW31" s="146"/>
      <c r="BX31" s="146"/>
      <c r="BY31" s="146"/>
      <c r="BZ31" s="146"/>
      <c r="CA31" s="146"/>
      <c r="CB31" s="146"/>
      <c r="CC31" s="146"/>
      <c r="CD31" s="146"/>
      <c r="CE31" s="146"/>
      <c r="CF31" s="146"/>
      <c r="CG31" s="146"/>
      <c r="CH31" s="146"/>
      <c r="CI31" s="146"/>
      <c r="CJ31" s="146"/>
      <c r="CK31" s="146"/>
      <c r="CL31" s="146"/>
      <c r="CM31" s="146"/>
      <c r="CN31" s="146"/>
      <c r="CO31" s="146"/>
      <c r="CP31" s="146"/>
      <c r="CQ31" s="146"/>
      <c r="CR31" s="146"/>
      <c r="CS31" s="146"/>
      <c r="CT31" s="146"/>
      <c r="CU31" s="146"/>
      <c r="CV31" s="146"/>
      <c r="CW31" s="146"/>
      <c r="CX31" s="146"/>
      <c r="CY31" s="146"/>
      <c r="CZ31" s="146"/>
      <c r="DA31" s="146"/>
      <c r="DB31" s="146"/>
      <c r="DC31" s="146"/>
      <c r="DD31" s="146"/>
      <c r="DE31" s="146"/>
      <c r="DF31" s="146"/>
      <c r="DG31" s="146"/>
      <c r="DH31" s="146"/>
      <c r="DI31" s="146"/>
      <c r="DJ31" s="146"/>
      <c r="DK31" s="146"/>
      <c r="DL31" s="146"/>
      <c r="DM31" s="146"/>
      <c r="DN31" s="146"/>
      <c r="DO31" s="146"/>
      <c r="DP31" s="146"/>
      <c r="DQ31" s="146"/>
      <c r="DR31" s="146"/>
      <c r="DS31" s="146"/>
      <c r="DT31" s="146"/>
      <c r="DU31" s="146"/>
      <c r="DV31" s="146"/>
      <c r="DW31" s="146"/>
      <c r="DX31" s="146"/>
      <c r="DY31" s="146"/>
      <c r="DZ31" s="146"/>
      <c r="EA31" s="146"/>
      <c r="EB31" s="146"/>
      <c r="EC31" s="146"/>
      <c r="ED31" s="146"/>
      <c r="EE31" s="146"/>
      <c r="EF31" s="146"/>
      <c r="EG31" s="146"/>
      <c r="EH31" s="146"/>
      <c r="EI31" s="146"/>
      <c r="EJ31" s="146"/>
      <c r="EK31" s="146"/>
      <c r="EL31" s="146"/>
      <c r="EM31" s="146"/>
      <c r="EN31" s="146"/>
      <c r="EO31" s="146"/>
      <c r="EP31" s="146"/>
      <c r="EQ31" s="146"/>
      <c r="ER31" s="146"/>
      <c r="ES31" s="146"/>
      <c r="ET31" s="146"/>
      <c r="EU31" s="146"/>
      <c r="EV31" s="146"/>
      <c r="EW31" s="146"/>
      <c r="EX31" s="146"/>
      <c r="EY31" s="146"/>
      <c r="EZ31" s="146"/>
      <c r="FA31" s="146"/>
      <c r="FB31" s="146"/>
      <c r="FC31" s="146"/>
      <c r="FD31" s="146"/>
      <c r="FE31" s="146"/>
      <c r="FF31" s="146"/>
      <c r="FG31" s="146"/>
      <c r="FH31" s="146"/>
      <c r="FI31" s="146"/>
      <c r="FJ31" s="146"/>
      <c r="FK31" s="146"/>
      <c r="FL31" s="146"/>
      <c r="FM31" s="146"/>
      <c r="FN31" s="146"/>
      <c r="FO31" s="146"/>
      <c r="FP31" s="146"/>
      <c r="FQ31" s="146"/>
      <c r="FR31" s="146"/>
      <c r="FS31" s="146"/>
      <c r="FT31" s="146"/>
      <c r="FU31" s="146"/>
      <c r="FV31" s="146"/>
      <c r="FW31" s="146"/>
      <c r="FX31" s="146"/>
      <c r="FY31" s="146"/>
      <c r="FZ31" s="146"/>
    </row>
    <row r="32" spans="1:182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/>
      <c r="H32" s="147"/>
      <c r="I32" s="147"/>
      <c r="J32" s="147"/>
      <c r="K32" s="147"/>
      <c r="L32" s="147"/>
    </row>
    <row r="33" spans="1:182" s="167" customFormat="1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E33" s="146"/>
      <c r="F33" s="146"/>
      <c r="G33" s="147"/>
      <c r="H33" s="147"/>
      <c r="I33" s="151"/>
      <c r="J33" s="147"/>
      <c r="K33" s="147"/>
      <c r="L33" s="147"/>
      <c r="M33" s="146"/>
      <c r="N33" s="146"/>
      <c r="O33" s="146"/>
      <c r="P33" s="146"/>
      <c r="Q33" s="146"/>
      <c r="R33" s="146"/>
      <c r="S33" s="146"/>
      <c r="T33" s="146"/>
      <c r="U33" s="146"/>
      <c r="V33" s="146"/>
      <c r="W33" s="146"/>
      <c r="X33" s="146"/>
      <c r="Y33" s="146"/>
      <c r="Z33" s="146"/>
      <c r="AA33" s="146"/>
      <c r="AB33" s="146"/>
      <c r="AC33" s="146"/>
      <c r="AD33" s="146"/>
      <c r="AE33" s="146"/>
      <c r="AF33" s="146"/>
      <c r="AG33" s="146"/>
      <c r="AH33" s="146"/>
      <c r="AI33" s="146"/>
      <c r="AJ33" s="146"/>
      <c r="AK33" s="146"/>
      <c r="AL33" s="146"/>
      <c r="AM33" s="146"/>
      <c r="AN33" s="146"/>
      <c r="AO33" s="146"/>
      <c r="AP33" s="146"/>
      <c r="AQ33" s="146"/>
      <c r="AR33" s="146"/>
      <c r="AS33" s="146"/>
      <c r="AT33" s="146"/>
      <c r="AU33" s="146"/>
      <c r="AV33" s="146"/>
      <c r="AW33" s="146"/>
      <c r="AX33" s="146"/>
      <c r="AY33" s="146"/>
      <c r="AZ33" s="146"/>
      <c r="BA33" s="146"/>
      <c r="BB33" s="146"/>
      <c r="BC33" s="146"/>
      <c r="BD33" s="146"/>
      <c r="BE33" s="146"/>
      <c r="BF33" s="146"/>
      <c r="BG33" s="146"/>
      <c r="BH33" s="146"/>
      <c r="BI33" s="146"/>
      <c r="BJ33" s="146"/>
      <c r="BK33" s="146"/>
      <c r="BL33" s="146"/>
      <c r="BM33" s="146"/>
      <c r="BN33" s="146"/>
      <c r="BO33" s="146"/>
      <c r="BP33" s="146"/>
      <c r="BQ33" s="146"/>
      <c r="BR33" s="146"/>
      <c r="BS33" s="146"/>
      <c r="BT33" s="146"/>
      <c r="BU33" s="146"/>
      <c r="BV33" s="146"/>
      <c r="BW33" s="146"/>
      <c r="BX33" s="146"/>
      <c r="BY33" s="146"/>
      <c r="BZ33" s="146"/>
      <c r="CA33" s="146"/>
      <c r="CB33" s="146"/>
      <c r="CC33" s="146"/>
      <c r="CD33" s="146"/>
      <c r="CE33" s="146"/>
      <c r="CF33" s="146"/>
      <c r="CG33" s="146"/>
      <c r="CH33" s="146"/>
      <c r="CI33" s="146"/>
      <c r="CJ33" s="146"/>
      <c r="CK33" s="146"/>
      <c r="CL33" s="146"/>
      <c r="CM33" s="146"/>
      <c r="CN33" s="146"/>
      <c r="CO33" s="146"/>
      <c r="CP33" s="146"/>
      <c r="CQ33" s="146"/>
      <c r="CR33" s="146"/>
      <c r="CS33" s="146"/>
      <c r="CT33" s="146"/>
      <c r="CU33" s="146"/>
      <c r="CV33" s="146"/>
      <c r="CW33" s="146"/>
      <c r="CX33" s="146"/>
      <c r="CY33" s="146"/>
      <c r="CZ33" s="146"/>
      <c r="DA33" s="146"/>
      <c r="DB33" s="146"/>
      <c r="DC33" s="146"/>
      <c r="DD33" s="146"/>
      <c r="DE33" s="146"/>
      <c r="DF33" s="146"/>
      <c r="DG33" s="146"/>
      <c r="DH33" s="146"/>
      <c r="DI33" s="146"/>
      <c r="DJ33" s="146"/>
      <c r="DK33" s="146"/>
      <c r="DL33" s="146"/>
      <c r="DM33" s="146"/>
      <c r="DN33" s="146"/>
      <c r="DO33" s="146"/>
      <c r="DP33" s="146"/>
      <c r="DQ33" s="146"/>
      <c r="DR33" s="146"/>
      <c r="DS33" s="146"/>
      <c r="DT33" s="146"/>
      <c r="DU33" s="146"/>
      <c r="DV33" s="146"/>
      <c r="DW33" s="146"/>
      <c r="DX33" s="146"/>
      <c r="DY33" s="146"/>
      <c r="DZ33" s="146"/>
      <c r="EA33" s="146"/>
      <c r="EB33" s="146"/>
      <c r="EC33" s="146"/>
      <c r="ED33" s="146"/>
      <c r="EE33" s="146"/>
      <c r="EF33" s="146"/>
      <c r="EG33" s="146"/>
      <c r="EH33" s="146"/>
      <c r="EI33" s="146"/>
      <c r="EJ33" s="146"/>
      <c r="EK33" s="146"/>
      <c r="EL33" s="146"/>
      <c r="EM33" s="146"/>
      <c r="EN33" s="146"/>
      <c r="EO33" s="146"/>
      <c r="EP33" s="146"/>
      <c r="EQ33" s="146"/>
      <c r="ER33" s="146"/>
      <c r="ES33" s="146"/>
      <c r="ET33" s="146"/>
      <c r="EU33" s="146"/>
      <c r="EV33" s="146"/>
      <c r="EW33" s="146"/>
      <c r="EX33" s="146"/>
      <c r="EY33" s="146"/>
      <c r="EZ33" s="146"/>
      <c r="FA33" s="146"/>
      <c r="FB33" s="146"/>
      <c r="FC33" s="146"/>
      <c r="FD33" s="146"/>
      <c r="FE33" s="146"/>
      <c r="FF33" s="146"/>
      <c r="FG33" s="146"/>
      <c r="FH33" s="146"/>
      <c r="FI33" s="146"/>
      <c r="FJ33" s="146"/>
      <c r="FK33" s="146"/>
      <c r="FL33" s="146"/>
      <c r="FM33" s="146"/>
      <c r="FN33" s="146"/>
      <c r="FO33" s="146"/>
      <c r="FP33" s="146"/>
      <c r="FQ33" s="146"/>
      <c r="FR33" s="146"/>
      <c r="FS33" s="146"/>
      <c r="FT33" s="146"/>
      <c r="FU33" s="146"/>
      <c r="FV33" s="146"/>
      <c r="FW33" s="146"/>
      <c r="FX33" s="146"/>
      <c r="FY33" s="146"/>
      <c r="FZ33" s="146"/>
    </row>
    <row r="34" spans="1:182" s="167" customFormat="1" x14ac:dyDescent="0.2">
      <c r="A34" s="166" t="s">
        <v>374</v>
      </c>
      <c r="B34" s="165">
        <v>0</v>
      </c>
      <c r="C34" s="165">
        <v>0</v>
      </c>
      <c r="D34" s="146"/>
      <c r="E34" s="146"/>
      <c r="F34" s="146"/>
      <c r="G34" s="147"/>
      <c r="H34" s="147"/>
      <c r="I34" s="147"/>
      <c r="J34" s="147"/>
      <c r="K34" s="147"/>
      <c r="L34" s="147"/>
      <c r="M34" s="146"/>
      <c r="N34" s="146"/>
      <c r="O34" s="146"/>
      <c r="P34" s="146"/>
      <c r="Q34" s="146"/>
      <c r="R34" s="146"/>
      <c r="S34" s="146"/>
      <c r="T34" s="146"/>
      <c r="U34" s="146"/>
      <c r="V34" s="146"/>
      <c r="W34" s="146"/>
      <c r="X34" s="146"/>
      <c r="Y34" s="146"/>
      <c r="Z34" s="146"/>
      <c r="AA34" s="146"/>
      <c r="AB34" s="146"/>
      <c r="AC34" s="146"/>
      <c r="AD34" s="146"/>
      <c r="AE34" s="146"/>
      <c r="AF34" s="146"/>
      <c r="AG34" s="146"/>
      <c r="AH34" s="146"/>
      <c r="AI34" s="146"/>
      <c r="AJ34" s="146"/>
      <c r="AK34" s="146"/>
      <c r="AL34" s="146"/>
      <c r="AM34" s="146"/>
      <c r="AN34" s="146"/>
      <c r="AO34" s="146"/>
      <c r="AP34" s="146"/>
      <c r="AQ34" s="146"/>
      <c r="AR34" s="146"/>
      <c r="AS34" s="146"/>
      <c r="AT34" s="146"/>
      <c r="AU34" s="146"/>
      <c r="AV34" s="146"/>
      <c r="AW34" s="146"/>
      <c r="AX34" s="146"/>
      <c r="AY34" s="146"/>
      <c r="AZ34" s="146"/>
      <c r="BA34" s="146"/>
      <c r="BB34" s="146"/>
      <c r="BC34" s="146"/>
      <c r="BD34" s="146"/>
      <c r="BE34" s="146"/>
      <c r="BF34" s="146"/>
      <c r="BG34" s="146"/>
      <c r="BH34" s="146"/>
      <c r="BI34" s="146"/>
      <c r="BJ34" s="146"/>
      <c r="BK34" s="146"/>
      <c r="BL34" s="146"/>
      <c r="BM34" s="146"/>
      <c r="BN34" s="146"/>
      <c r="BO34" s="146"/>
      <c r="BP34" s="146"/>
      <c r="BQ34" s="146"/>
      <c r="BR34" s="146"/>
      <c r="BS34" s="146"/>
      <c r="BT34" s="146"/>
      <c r="BU34" s="146"/>
      <c r="BV34" s="146"/>
      <c r="BW34" s="146"/>
      <c r="BX34" s="146"/>
      <c r="BY34" s="146"/>
      <c r="BZ34" s="146"/>
      <c r="CA34" s="146"/>
      <c r="CB34" s="146"/>
      <c r="CC34" s="146"/>
      <c r="CD34" s="146"/>
      <c r="CE34" s="146"/>
      <c r="CF34" s="146"/>
      <c r="CG34" s="146"/>
      <c r="CH34" s="146"/>
      <c r="CI34" s="146"/>
      <c r="CJ34" s="146"/>
      <c r="CK34" s="146"/>
      <c r="CL34" s="146"/>
      <c r="CM34" s="146"/>
      <c r="CN34" s="146"/>
      <c r="CO34" s="146"/>
      <c r="CP34" s="146"/>
      <c r="CQ34" s="146"/>
      <c r="CR34" s="146"/>
      <c r="CS34" s="146"/>
      <c r="CT34" s="146"/>
      <c r="CU34" s="146"/>
      <c r="CV34" s="146"/>
      <c r="CW34" s="146"/>
      <c r="CX34" s="146"/>
      <c r="CY34" s="146"/>
      <c r="CZ34" s="146"/>
      <c r="DA34" s="146"/>
      <c r="DB34" s="146"/>
      <c r="DC34" s="146"/>
      <c r="DD34" s="146"/>
      <c r="DE34" s="146"/>
      <c r="DF34" s="146"/>
      <c r="DG34" s="146"/>
      <c r="DH34" s="146"/>
      <c r="DI34" s="146"/>
      <c r="DJ34" s="146"/>
      <c r="DK34" s="146"/>
      <c r="DL34" s="146"/>
      <c r="DM34" s="146"/>
      <c r="DN34" s="146"/>
      <c r="DO34" s="146"/>
      <c r="DP34" s="146"/>
      <c r="DQ34" s="146"/>
      <c r="DR34" s="146"/>
      <c r="DS34" s="146"/>
      <c r="DT34" s="146"/>
      <c r="DU34" s="146"/>
      <c r="DV34" s="146"/>
      <c r="DW34" s="146"/>
      <c r="DX34" s="146"/>
      <c r="DY34" s="146"/>
      <c r="DZ34" s="146"/>
      <c r="EA34" s="146"/>
      <c r="EB34" s="146"/>
      <c r="EC34" s="146"/>
      <c r="ED34" s="146"/>
      <c r="EE34" s="146"/>
      <c r="EF34" s="146"/>
      <c r="EG34" s="146"/>
      <c r="EH34" s="146"/>
      <c r="EI34" s="146"/>
      <c r="EJ34" s="146"/>
      <c r="EK34" s="146"/>
      <c r="EL34" s="146"/>
      <c r="EM34" s="146"/>
      <c r="EN34" s="146"/>
      <c r="EO34" s="146"/>
      <c r="EP34" s="146"/>
      <c r="EQ34" s="146"/>
      <c r="ER34" s="146"/>
      <c r="ES34" s="146"/>
      <c r="ET34" s="146"/>
      <c r="EU34" s="146"/>
      <c r="EV34" s="146"/>
      <c r="EW34" s="146"/>
      <c r="EX34" s="146"/>
      <c r="EY34" s="146"/>
      <c r="EZ34" s="146"/>
      <c r="FA34" s="146"/>
      <c r="FB34" s="146"/>
      <c r="FC34" s="146"/>
      <c r="FD34" s="146"/>
      <c r="FE34" s="146"/>
      <c r="FF34" s="146"/>
      <c r="FG34" s="146"/>
      <c r="FH34" s="146"/>
      <c r="FI34" s="146"/>
      <c r="FJ34" s="146"/>
      <c r="FK34" s="146"/>
      <c r="FL34" s="146"/>
      <c r="FM34" s="146"/>
      <c r="FN34" s="146"/>
      <c r="FO34" s="146"/>
      <c r="FP34" s="146"/>
      <c r="FQ34" s="146"/>
      <c r="FR34" s="146"/>
      <c r="FS34" s="146"/>
      <c r="FT34" s="146"/>
      <c r="FU34" s="146"/>
      <c r="FV34" s="146"/>
      <c r="FW34" s="146"/>
      <c r="FX34" s="146"/>
      <c r="FY34" s="146"/>
      <c r="FZ34" s="146"/>
    </row>
    <row r="35" spans="1:182" s="167" customFormat="1" x14ac:dyDescent="0.2">
      <c r="A35" s="166" t="s">
        <v>392</v>
      </c>
      <c r="B35" s="165">
        <v>0</v>
      </c>
      <c r="C35" s="165">
        <v>0</v>
      </c>
      <c r="D35" s="146"/>
      <c r="E35" s="146"/>
      <c r="F35" s="146"/>
      <c r="G35" s="147"/>
      <c r="H35" s="147"/>
      <c r="I35" s="147"/>
      <c r="J35" s="147"/>
      <c r="K35" s="147"/>
      <c r="L35" s="147"/>
      <c r="M35" s="146"/>
      <c r="N35" s="146"/>
      <c r="O35" s="146"/>
      <c r="P35" s="146"/>
      <c r="Q35" s="146"/>
      <c r="R35" s="146"/>
      <c r="S35" s="146"/>
      <c r="T35" s="146"/>
      <c r="U35" s="146"/>
      <c r="V35" s="146"/>
      <c r="W35" s="146"/>
      <c r="X35" s="146"/>
      <c r="Y35" s="146"/>
      <c r="Z35" s="146"/>
      <c r="AA35" s="146"/>
      <c r="AB35" s="146"/>
      <c r="AC35" s="146"/>
      <c r="AD35" s="146"/>
      <c r="AE35" s="146"/>
      <c r="AF35" s="146"/>
      <c r="AG35" s="146"/>
      <c r="AH35" s="146"/>
      <c r="AI35" s="146"/>
      <c r="AJ35" s="146"/>
      <c r="AK35" s="146"/>
      <c r="AL35" s="146"/>
      <c r="AM35" s="146"/>
      <c r="AN35" s="146"/>
      <c r="AO35" s="146"/>
      <c r="AP35" s="146"/>
      <c r="AQ35" s="146"/>
      <c r="AR35" s="146"/>
      <c r="AS35" s="146"/>
      <c r="AT35" s="146"/>
      <c r="AU35" s="146"/>
      <c r="AV35" s="146"/>
      <c r="AW35" s="146"/>
      <c r="AX35" s="146"/>
      <c r="AY35" s="146"/>
      <c r="AZ35" s="146"/>
      <c r="BA35" s="146"/>
      <c r="BB35" s="146"/>
      <c r="BC35" s="146"/>
      <c r="BD35" s="146"/>
      <c r="BE35" s="146"/>
      <c r="BF35" s="146"/>
      <c r="BG35" s="146"/>
      <c r="BH35" s="146"/>
      <c r="BI35" s="146"/>
      <c r="BJ35" s="146"/>
      <c r="BK35" s="146"/>
      <c r="BL35" s="146"/>
      <c r="BM35" s="146"/>
      <c r="BN35" s="146"/>
      <c r="BO35" s="146"/>
      <c r="BP35" s="146"/>
      <c r="BQ35" s="146"/>
      <c r="BR35" s="146"/>
      <c r="BS35" s="146"/>
      <c r="BT35" s="146"/>
      <c r="BU35" s="146"/>
      <c r="BV35" s="146"/>
      <c r="BW35" s="146"/>
      <c r="BX35" s="146"/>
      <c r="BY35" s="146"/>
      <c r="BZ35" s="146"/>
      <c r="CA35" s="146"/>
      <c r="CB35" s="146"/>
      <c r="CC35" s="146"/>
      <c r="CD35" s="146"/>
      <c r="CE35" s="146"/>
      <c r="CF35" s="146"/>
      <c r="CG35" s="146"/>
      <c r="CH35" s="146"/>
      <c r="CI35" s="146"/>
      <c r="CJ35" s="146"/>
      <c r="CK35" s="146"/>
      <c r="CL35" s="146"/>
      <c r="CM35" s="146"/>
      <c r="CN35" s="146"/>
      <c r="CO35" s="146"/>
      <c r="CP35" s="146"/>
      <c r="CQ35" s="146"/>
      <c r="CR35" s="146"/>
      <c r="CS35" s="146"/>
      <c r="CT35" s="146"/>
      <c r="CU35" s="146"/>
      <c r="CV35" s="146"/>
      <c r="CW35" s="146"/>
      <c r="CX35" s="146"/>
      <c r="CY35" s="146"/>
      <c r="CZ35" s="146"/>
      <c r="DA35" s="146"/>
      <c r="DB35" s="146"/>
      <c r="DC35" s="146"/>
      <c r="DD35" s="146"/>
      <c r="DE35" s="146"/>
      <c r="DF35" s="146"/>
      <c r="DG35" s="146"/>
      <c r="DH35" s="146"/>
      <c r="DI35" s="146"/>
      <c r="DJ35" s="146"/>
      <c r="DK35" s="146"/>
      <c r="DL35" s="146"/>
      <c r="DM35" s="146"/>
      <c r="DN35" s="146"/>
      <c r="DO35" s="146"/>
      <c r="DP35" s="146"/>
      <c r="DQ35" s="146"/>
      <c r="DR35" s="146"/>
      <c r="DS35" s="146"/>
      <c r="DT35" s="146"/>
      <c r="DU35" s="146"/>
      <c r="DV35" s="146"/>
      <c r="DW35" s="146"/>
      <c r="DX35" s="146"/>
      <c r="DY35" s="146"/>
      <c r="DZ35" s="146"/>
      <c r="EA35" s="146"/>
      <c r="EB35" s="146"/>
      <c r="EC35" s="146"/>
      <c r="ED35" s="146"/>
      <c r="EE35" s="146"/>
      <c r="EF35" s="146"/>
      <c r="EG35" s="146"/>
      <c r="EH35" s="146"/>
      <c r="EI35" s="146"/>
      <c r="EJ35" s="146"/>
      <c r="EK35" s="146"/>
      <c r="EL35" s="146"/>
      <c r="EM35" s="146"/>
      <c r="EN35" s="146"/>
      <c r="EO35" s="146"/>
      <c r="EP35" s="146"/>
      <c r="EQ35" s="146"/>
      <c r="ER35" s="146"/>
      <c r="ES35" s="146"/>
      <c r="ET35" s="146"/>
      <c r="EU35" s="146"/>
      <c r="EV35" s="146"/>
      <c r="EW35" s="146"/>
      <c r="EX35" s="146"/>
      <c r="EY35" s="146"/>
      <c r="EZ35" s="146"/>
      <c r="FA35" s="146"/>
      <c r="FB35" s="146"/>
      <c r="FC35" s="146"/>
      <c r="FD35" s="146"/>
      <c r="FE35" s="146"/>
      <c r="FF35" s="146"/>
      <c r="FG35" s="146"/>
      <c r="FH35" s="146"/>
      <c r="FI35" s="146"/>
      <c r="FJ35" s="146"/>
      <c r="FK35" s="146"/>
      <c r="FL35" s="146"/>
      <c r="FM35" s="146"/>
      <c r="FN35" s="146"/>
      <c r="FO35" s="146"/>
      <c r="FP35" s="146"/>
      <c r="FQ35" s="146"/>
      <c r="FR35" s="146"/>
      <c r="FS35" s="146"/>
      <c r="FT35" s="146"/>
      <c r="FU35" s="146"/>
      <c r="FV35" s="146"/>
      <c r="FW35" s="146"/>
      <c r="FX35" s="146"/>
      <c r="FY35" s="146"/>
      <c r="FZ35" s="146"/>
    </row>
    <row r="36" spans="1:182" s="167" customFormat="1" x14ac:dyDescent="0.2">
      <c r="A36" s="166" t="s">
        <v>428</v>
      </c>
      <c r="B36" s="165">
        <v>0</v>
      </c>
      <c r="C36" s="165">
        <v>0</v>
      </c>
      <c r="D36" s="146"/>
      <c r="E36" s="146"/>
      <c r="F36" s="146"/>
      <c r="G36" s="147"/>
      <c r="H36" s="147"/>
      <c r="I36" s="147"/>
      <c r="J36" s="147"/>
      <c r="K36" s="147"/>
      <c r="L36" s="147"/>
      <c r="M36" s="146"/>
      <c r="N36" s="146"/>
      <c r="O36" s="146"/>
      <c r="P36" s="146"/>
      <c r="Q36" s="146"/>
      <c r="R36" s="146"/>
      <c r="S36" s="146"/>
      <c r="T36" s="146"/>
      <c r="U36" s="146"/>
      <c r="V36" s="146"/>
      <c r="W36" s="146"/>
      <c r="X36" s="146"/>
      <c r="Y36" s="146"/>
      <c r="Z36" s="146"/>
      <c r="AA36" s="146"/>
      <c r="AB36" s="146"/>
      <c r="AC36" s="146"/>
      <c r="AD36" s="146"/>
      <c r="AE36" s="146"/>
      <c r="AF36" s="146"/>
      <c r="AG36" s="146"/>
      <c r="AH36" s="146"/>
      <c r="AI36" s="146"/>
      <c r="AJ36" s="146"/>
      <c r="AK36" s="146"/>
      <c r="AL36" s="146"/>
      <c r="AM36" s="146"/>
      <c r="AN36" s="146"/>
      <c r="AO36" s="146"/>
      <c r="AP36" s="146"/>
      <c r="AQ36" s="146"/>
      <c r="AR36" s="146"/>
      <c r="AS36" s="146"/>
      <c r="AT36" s="146"/>
      <c r="AU36" s="146"/>
      <c r="AV36" s="146"/>
      <c r="AW36" s="146"/>
      <c r="AX36" s="146"/>
      <c r="AY36" s="146"/>
      <c r="AZ36" s="146"/>
      <c r="BA36" s="146"/>
      <c r="BB36" s="146"/>
      <c r="BC36" s="146"/>
      <c r="BD36" s="146"/>
      <c r="BE36" s="146"/>
      <c r="BF36" s="146"/>
      <c r="BG36" s="146"/>
      <c r="BH36" s="146"/>
      <c r="BI36" s="146"/>
      <c r="BJ36" s="146"/>
      <c r="BK36" s="146"/>
      <c r="BL36" s="146"/>
      <c r="BM36" s="146"/>
      <c r="BN36" s="146"/>
      <c r="BO36" s="146"/>
      <c r="BP36" s="146"/>
      <c r="BQ36" s="146"/>
      <c r="BR36" s="146"/>
      <c r="BS36" s="146"/>
      <c r="BT36" s="146"/>
      <c r="BU36" s="146"/>
      <c r="BV36" s="146"/>
      <c r="BW36" s="146"/>
      <c r="BX36" s="146"/>
      <c r="BY36" s="146"/>
      <c r="BZ36" s="146"/>
      <c r="CA36" s="146"/>
      <c r="CB36" s="146"/>
      <c r="CC36" s="146"/>
      <c r="CD36" s="146"/>
      <c r="CE36" s="146"/>
      <c r="CF36" s="146"/>
      <c r="CG36" s="146"/>
      <c r="CH36" s="146"/>
      <c r="CI36" s="146"/>
      <c r="CJ36" s="146"/>
      <c r="CK36" s="146"/>
      <c r="CL36" s="146"/>
      <c r="CM36" s="146"/>
      <c r="CN36" s="146"/>
      <c r="CO36" s="146"/>
      <c r="CP36" s="146"/>
      <c r="CQ36" s="146"/>
      <c r="CR36" s="146"/>
      <c r="CS36" s="146"/>
      <c r="CT36" s="146"/>
      <c r="CU36" s="146"/>
      <c r="CV36" s="146"/>
      <c r="CW36" s="146"/>
      <c r="CX36" s="146"/>
      <c r="CY36" s="146"/>
      <c r="CZ36" s="146"/>
      <c r="DA36" s="146"/>
      <c r="DB36" s="146"/>
      <c r="DC36" s="146"/>
      <c r="DD36" s="146"/>
      <c r="DE36" s="146"/>
      <c r="DF36" s="146"/>
      <c r="DG36" s="146"/>
      <c r="DH36" s="146"/>
      <c r="DI36" s="146"/>
      <c r="DJ36" s="146"/>
      <c r="DK36" s="146"/>
      <c r="DL36" s="146"/>
      <c r="DM36" s="146"/>
      <c r="DN36" s="146"/>
      <c r="DO36" s="146"/>
      <c r="DP36" s="146"/>
      <c r="DQ36" s="146"/>
      <c r="DR36" s="146"/>
      <c r="DS36" s="146"/>
      <c r="DT36" s="146"/>
      <c r="DU36" s="146"/>
      <c r="DV36" s="146"/>
      <c r="DW36" s="146"/>
      <c r="DX36" s="146"/>
      <c r="DY36" s="146"/>
      <c r="DZ36" s="146"/>
      <c r="EA36" s="146"/>
      <c r="EB36" s="146"/>
      <c r="EC36" s="146"/>
      <c r="ED36" s="146"/>
      <c r="EE36" s="146"/>
      <c r="EF36" s="146"/>
      <c r="EG36" s="146"/>
      <c r="EH36" s="146"/>
      <c r="EI36" s="146"/>
      <c r="EJ36" s="146"/>
      <c r="EK36" s="146"/>
      <c r="EL36" s="146"/>
      <c r="EM36" s="146"/>
      <c r="EN36" s="146"/>
      <c r="EO36" s="146"/>
      <c r="EP36" s="146"/>
      <c r="EQ36" s="146"/>
      <c r="ER36" s="146"/>
      <c r="ES36" s="146"/>
      <c r="ET36" s="146"/>
      <c r="EU36" s="146"/>
      <c r="EV36" s="146"/>
      <c r="EW36" s="146"/>
      <c r="EX36" s="146"/>
      <c r="EY36" s="146"/>
      <c r="EZ36" s="146"/>
      <c r="FA36" s="146"/>
      <c r="FB36" s="146"/>
      <c r="FC36" s="146"/>
      <c r="FD36" s="146"/>
      <c r="FE36" s="146"/>
      <c r="FF36" s="146"/>
      <c r="FG36" s="146"/>
      <c r="FH36" s="146"/>
      <c r="FI36" s="146"/>
      <c r="FJ36" s="146"/>
      <c r="FK36" s="146"/>
      <c r="FL36" s="146"/>
      <c r="FM36" s="146"/>
      <c r="FN36" s="146"/>
      <c r="FO36" s="146"/>
      <c r="FP36" s="146"/>
      <c r="FQ36" s="146"/>
      <c r="FR36" s="146"/>
      <c r="FS36" s="146"/>
      <c r="FT36" s="146"/>
      <c r="FU36" s="146"/>
      <c r="FV36" s="146"/>
      <c r="FW36" s="146"/>
      <c r="FX36" s="146"/>
      <c r="FY36" s="146"/>
      <c r="FZ36" s="146"/>
    </row>
    <row r="37" spans="1:18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82" x14ac:dyDescent="0.2">
      <c r="A38" s="166" t="s">
        <v>591</v>
      </c>
      <c r="B38" s="165">
        <v>120</v>
      </c>
      <c r="C38" s="165">
        <f>B38</f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82" x14ac:dyDescent="0.2">
      <c r="A39" s="166" t="s">
        <v>629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82" s="167" customFormat="1" x14ac:dyDescent="0.2">
      <c r="A40" s="166" t="s">
        <v>619</v>
      </c>
      <c r="B40" s="165">
        <v>0</v>
      </c>
      <c r="C40" s="165">
        <v>0</v>
      </c>
      <c r="D40" s="147"/>
      <c r="E40" s="147"/>
      <c r="F40" s="147"/>
      <c r="G40" s="147"/>
      <c r="H40" s="147"/>
      <c r="I40" s="147"/>
      <c r="J40" s="147"/>
      <c r="K40" s="147"/>
      <c r="L40" s="147"/>
      <c r="M40" s="146"/>
      <c r="N40" s="146"/>
      <c r="O40" s="146"/>
      <c r="P40" s="146"/>
      <c r="Q40" s="146"/>
      <c r="R40" s="146"/>
      <c r="S40" s="146"/>
      <c r="T40" s="146"/>
      <c r="U40" s="146"/>
      <c r="V40" s="146"/>
      <c r="W40" s="146"/>
      <c r="X40" s="146"/>
      <c r="Y40" s="146"/>
      <c r="Z40" s="146"/>
      <c r="AA40" s="146"/>
      <c r="AB40" s="146"/>
      <c r="AC40" s="146"/>
      <c r="AD40" s="146"/>
      <c r="AE40" s="146"/>
      <c r="AF40" s="146"/>
      <c r="AG40" s="146"/>
      <c r="AH40" s="146"/>
      <c r="AI40" s="146"/>
      <c r="AJ40" s="146"/>
      <c r="AK40" s="146"/>
      <c r="AL40" s="146"/>
      <c r="AM40" s="146"/>
      <c r="AN40" s="146"/>
      <c r="AO40" s="146"/>
      <c r="AP40" s="146"/>
      <c r="AQ40" s="146"/>
      <c r="AR40" s="146"/>
      <c r="AS40" s="146"/>
      <c r="AT40" s="146"/>
      <c r="AU40" s="146"/>
      <c r="AV40" s="146"/>
      <c r="AW40" s="146"/>
      <c r="AX40" s="146"/>
      <c r="AY40" s="146"/>
      <c r="AZ40" s="146"/>
      <c r="BA40" s="146"/>
      <c r="BB40" s="146"/>
      <c r="BC40" s="146"/>
      <c r="BD40" s="146"/>
      <c r="BE40" s="146"/>
      <c r="BF40" s="146"/>
      <c r="BG40" s="146"/>
      <c r="BH40" s="146"/>
      <c r="BI40" s="146"/>
      <c r="BJ40" s="146"/>
      <c r="BK40" s="146"/>
      <c r="BL40" s="146"/>
      <c r="BM40" s="146"/>
      <c r="BN40" s="146"/>
      <c r="BO40" s="146"/>
      <c r="BP40" s="146"/>
      <c r="BQ40" s="146"/>
      <c r="BR40" s="146"/>
      <c r="BS40" s="146"/>
      <c r="BT40" s="146"/>
      <c r="BU40" s="146"/>
      <c r="BV40" s="146"/>
      <c r="BW40" s="146"/>
      <c r="BX40" s="146"/>
      <c r="BY40" s="146"/>
      <c r="BZ40" s="146"/>
      <c r="CA40" s="146"/>
      <c r="CB40" s="146"/>
      <c r="CC40" s="146"/>
      <c r="CD40" s="146"/>
      <c r="CE40" s="146"/>
      <c r="CF40" s="146"/>
      <c r="CG40" s="146"/>
      <c r="CH40" s="146"/>
      <c r="CI40" s="146"/>
      <c r="CJ40" s="146"/>
      <c r="CK40" s="146"/>
      <c r="CL40" s="146"/>
      <c r="CM40" s="146"/>
      <c r="CN40" s="146"/>
      <c r="CO40" s="146"/>
      <c r="CP40" s="146"/>
      <c r="CQ40" s="146"/>
      <c r="CR40" s="146"/>
      <c r="CS40" s="146"/>
      <c r="CT40" s="146"/>
      <c r="CU40" s="146"/>
      <c r="CV40" s="146"/>
      <c r="CW40" s="146"/>
      <c r="CX40" s="146"/>
      <c r="CY40" s="146"/>
      <c r="CZ40" s="146"/>
      <c r="DA40" s="146"/>
      <c r="DB40" s="146"/>
      <c r="DC40" s="146"/>
      <c r="DD40" s="146"/>
      <c r="DE40" s="146"/>
      <c r="DF40" s="146"/>
      <c r="DG40" s="146"/>
      <c r="DH40" s="146"/>
      <c r="DI40" s="146"/>
      <c r="DJ40" s="146"/>
      <c r="DK40" s="146"/>
      <c r="DL40" s="146"/>
      <c r="DM40" s="146"/>
      <c r="DN40" s="146"/>
      <c r="DO40" s="146"/>
      <c r="DP40" s="146"/>
      <c r="DQ40" s="146"/>
      <c r="DR40" s="146"/>
      <c r="DS40" s="146"/>
      <c r="DT40" s="146"/>
      <c r="DU40" s="146"/>
      <c r="DV40" s="146"/>
      <c r="DW40" s="146"/>
      <c r="DX40" s="146"/>
      <c r="DY40" s="146"/>
      <c r="DZ40" s="146"/>
      <c r="EA40" s="146"/>
      <c r="EB40" s="146"/>
      <c r="EC40" s="146"/>
      <c r="ED40" s="146"/>
      <c r="EE40" s="146"/>
      <c r="EF40" s="146"/>
      <c r="EG40" s="146"/>
      <c r="EH40" s="146"/>
      <c r="EI40" s="146"/>
      <c r="EJ40" s="146"/>
      <c r="EK40" s="146"/>
      <c r="EL40" s="146"/>
      <c r="EM40" s="146"/>
      <c r="EN40" s="146"/>
      <c r="EO40" s="146"/>
      <c r="EP40" s="146"/>
      <c r="EQ40" s="146"/>
      <c r="ER40" s="146"/>
      <c r="ES40" s="146"/>
      <c r="ET40" s="146"/>
      <c r="EU40" s="146"/>
      <c r="EV40" s="146"/>
      <c r="EW40" s="146"/>
      <c r="EX40" s="146"/>
      <c r="EY40" s="146"/>
      <c r="EZ40" s="146"/>
      <c r="FA40" s="146"/>
      <c r="FB40" s="146"/>
      <c r="FC40" s="146"/>
      <c r="FD40" s="146"/>
      <c r="FE40" s="146"/>
      <c r="FF40" s="146"/>
      <c r="FG40" s="146"/>
      <c r="FH40" s="146"/>
      <c r="FI40" s="146"/>
      <c r="FJ40" s="146"/>
      <c r="FK40" s="146"/>
      <c r="FL40" s="146"/>
      <c r="FM40" s="146"/>
      <c r="FN40" s="146"/>
      <c r="FO40" s="146"/>
      <c r="FP40" s="146"/>
      <c r="FQ40" s="146"/>
      <c r="FR40" s="146"/>
      <c r="FS40" s="146"/>
      <c r="FT40" s="146"/>
      <c r="FU40" s="146"/>
      <c r="FV40" s="146"/>
      <c r="FW40" s="146"/>
      <c r="FX40" s="146"/>
      <c r="FY40" s="146"/>
      <c r="FZ40" s="146"/>
    </row>
    <row r="41" spans="1:182" x14ac:dyDescent="0.2">
      <c r="A41" s="146" t="s">
        <v>395</v>
      </c>
      <c r="B41" s="146">
        <v>40</v>
      </c>
      <c r="C41" s="147">
        <v>30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82" ht="12" thickBot="1" x14ac:dyDescent="0.25">
      <c r="A42" s="146" t="s">
        <v>31</v>
      </c>
      <c r="B42" s="146">
        <f>SUM(C2:C41)</f>
        <v>3965.0068790000005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82" x14ac:dyDescent="0.2">
      <c r="A43" s="153" t="s">
        <v>24</v>
      </c>
      <c r="B43" s="154">
        <f>B45-B42</f>
        <v>148.39999999999964</v>
      </c>
      <c r="C43" s="155"/>
      <c r="D43" s="146" t="s">
        <v>630</v>
      </c>
      <c r="E43" s="200">
        <v>205</v>
      </c>
      <c r="F43" s="167">
        <f>468+E43</f>
        <v>673</v>
      </c>
      <c r="G43" s="146">
        <v>15013</v>
      </c>
      <c r="J43" s="145">
        <f>(G43)/(G43+G44)</f>
        <v>0.75065000000000004</v>
      </c>
      <c r="K43" s="145"/>
    </row>
    <row r="44" spans="1:182" x14ac:dyDescent="0.2">
      <c r="A44" s="156"/>
      <c r="B44" s="157"/>
      <c r="C44" s="158"/>
      <c r="G44" s="146">
        <v>4987</v>
      </c>
      <c r="H44" s="157"/>
      <c r="I44" s="157"/>
    </row>
    <row r="45" spans="1:182" x14ac:dyDescent="0.2">
      <c r="A45" s="156" t="s">
        <v>20</v>
      </c>
      <c r="B45" s="159">
        <f>SUM(B2:B28)+SUM(B29:B41)</f>
        <v>4113.4068790000001</v>
      </c>
      <c r="C45" s="160"/>
      <c r="G45" s="146">
        <f>SUM(G43:G44)</f>
        <v>20000</v>
      </c>
    </row>
    <row r="46" spans="1:182" x14ac:dyDescent="0.2">
      <c r="A46" s="156"/>
      <c r="B46" s="157">
        <f>B45</f>
        <v>4113.4068790000001</v>
      </c>
      <c r="C46" s="158"/>
      <c r="G46" s="146">
        <f>G43/B47</f>
        <v>4289.4285714285716</v>
      </c>
      <c r="I46" s="145"/>
    </row>
    <row r="47" spans="1:18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8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B5" sqref="B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45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10" customFormat="1" x14ac:dyDescent="0.25">
      <c r="A3" s="10" t="s">
        <v>4</v>
      </c>
      <c r="B3" s="10">
        <f>400+34</f>
        <v>434</v>
      </c>
      <c r="C3" s="10" t="s">
        <v>23</v>
      </c>
      <c r="D3" s="10">
        <f>47+10+5+100+15+60+22+30+45</f>
        <v>334</v>
      </c>
      <c r="E3" s="10" t="s">
        <v>23</v>
      </c>
      <c r="F3" s="10">
        <v>15023</v>
      </c>
      <c r="G3" s="10" t="s">
        <v>28</v>
      </c>
      <c r="J3" s="10">
        <f>B8+B12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30*2.88</f>
        <v>86.399999999999991</v>
      </c>
      <c r="C5" s="3" t="s">
        <v>23</v>
      </c>
      <c r="D5" s="3">
        <f>B5</f>
        <v>86.399999999999991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300+150+65</f>
        <v>515</v>
      </c>
      <c r="D6" s="3">
        <f>B6</f>
        <v>515</v>
      </c>
      <c r="E6" s="3" t="s">
        <v>23</v>
      </c>
    </row>
    <row r="7" spans="1:10" s="3" customFormat="1" x14ac:dyDescent="0.25">
      <c r="A7" s="3" t="s">
        <v>46</v>
      </c>
      <c r="B7" s="3">
        <v>65</v>
      </c>
      <c r="D7" s="3">
        <v>65</v>
      </c>
      <c r="J7" s="5"/>
    </row>
    <row r="8" spans="1:10" s="3" customFormat="1" x14ac:dyDescent="0.25">
      <c r="A8" s="3" t="s">
        <v>12</v>
      </c>
      <c r="B8" s="3">
        <v>92</v>
      </c>
      <c r="C8" s="3" t="s">
        <v>5</v>
      </c>
      <c r="D8" s="3">
        <f>B8</f>
        <v>92</v>
      </c>
      <c r="E8" s="3" t="s">
        <v>23</v>
      </c>
    </row>
    <row r="9" spans="1:10" s="3" customFormat="1" x14ac:dyDescent="0.25">
      <c r="A9" s="3" t="s">
        <v>13</v>
      </c>
      <c r="B9" s="3">
        <v>122.18</v>
      </c>
      <c r="C9" s="3" t="s">
        <v>23</v>
      </c>
      <c r="D9" s="3">
        <f>B9</f>
        <v>122.18</v>
      </c>
      <c r="E9" s="3" t="s">
        <v>23</v>
      </c>
    </row>
    <row r="10" spans="1:10" s="3" customFormat="1" x14ac:dyDescent="0.25">
      <c r="A10" s="3" t="s">
        <v>15</v>
      </c>
      <c r="B10" s="3">
        <v>60</v>
      </c>
      <c r="C10" s="3" t="s">
        <v>23</v>
      </c>
      <c r="D10" s="3">
        <f>B10</f>
        <v>60</v>
      </c>
      <c r="E10" s="3" t="s">
        <v>23</v>
      </c>
    </row>
    <row r="11" spans="1:10" s="3" customFormat="1" x14ac:dyDescent="0.25">
      <c r="A11" s="3" t="s">
        <v>17</v>
      </c>
      <c r="B11" s="3">
        <v>10</v>
      </c>
      <c r="C11" s="3" t="s">
        <v>23</v>
      </c>
      <c r="D11" s="3">
        <v>10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J19</f>
        <v>325.52687900000001</v>
      </c>
      <c r="C12" s="3" t="s">
        <v>5</v>
      </c>
      <c r="D12" s="3">
        <f>B12</f>
        <v>325.52687900000001</v>
      </c>
      <c r="E12" s="3" t="s">
        <v>23</v>
      </c>
      <c r="J12" s="5"/>
    </row>
    <row r="13" spans="1:10" s="3" customFormat="1" x14ac:dyDescent="0.25">
      <c r="A13" s="3" t="s">
        <v>27</v>
      </c>
      <c r="B13" s="3">
        <f>125.64*2.88</f>
        <v>361.84319999999997</v>
      </c>
      <c r="C13" s="3" t="s">
        <v>5</v>
      </c>
      <c r="D13" s="3">
        <f>B13</f>
        <v>361.84319999999997</v>
      </c>
      <c r="E13" s="3" t="s">
        <v>23</v>
      </c>
      <c r="J13" s="5"/>
    </row>
    <row r="14" spans="1:10" s="3" customFormat="1" x14ac:dyDescent="0.25">
      <c r="A14" s="3" t="s">
        <v>32</v>
      </c>
      <c r="B14" s="3">
        <v>120</v>
      </c>
      <c r="C14" s="3" t="s">
        <v>5</v>
      </c>
      <c r="D14" s="3">
        <f>B14</f>
        <v>120</v>
      </c>
      <c r="E14" s="3" t="s">
        <v>23</v>
      </c>
      <c r="J14" s="5"/>
    </row>
    <row r="15" spans="1:10" s="10" customFormat="1" x14ac:dyDescent="0.25">
      <c r="J15" s="11"/>
    </row>
    <row r="17" spans="1:10" s="4" customFormat="1" x14ac:dyDescent="0.25">
      <c r="D17" s="4">
        <f>87+50+20</f>
        <v>157</v>
      </c>
      <c r="G17">
        <v>57.16</v>
      </c>
      <c r="H17" s="4">
        <f>D3-B3</f>
        <v>-100</v>
      </c>
      <c r="J17" s="7"/>
    </row>
    <row r="18" spans="1:10" s="4" customFormat="1" x14ac:dyDescent="0.25">
      <c r="A18" s="4" t="s">
        <v>31</v>
      </c>
      <c r="B18" s="4">
        <f>SUM(D3:D14)</f>
        <v>2383.440079</v>
      </c>
      <c r="G18"/>
      <c r="J18" s="7" t="s">
        <v>34</v>
      </c>
    </row>
    <row r="19" spans="1:10" s="4" customFormat="1" x14ac:dyDescent="0.25">
      <c r="A19" s="12" t="s">
        <v>24</v>
      </c>
      <c r="B19" s="12">
        <f>B21-B18</f>
        <v>100</v>
      </c>
      <c r="G19"/>
      <c r="H19" s="4">
        <v>15013</v>
      </c>
      <c r="I19" s="4">
        <f>B12/2.8</f>
        <v>116.25959964285715</v>
      </c>
      <c r="J19" s="7">
        <f>433.66*(H19)/(H19+H20)</f>
        <v>325.52687900000001</v>
      </c>
    </row>
    <row r="20" spans="1:10" s="4" customFormat="1" x14ac:dyDescent="0.25">
      <c r="D20" s="4">
        <f>B12+B8</f>
        <v>417.52687900000001</v>
      </c>
      <c r="E20" s="4">
        <f>B6+D20</f>
        <v>932.52687900000001</v>
      </c>
      <c r="G20"/>
      <c r="H20" s="4">
        <v>4987</v>
      </c>
      <c r="J20" s="7"/>
    </row>
    <row r="21" spans="1:10" ht="15.75" x14ac:dyDescent="0.25">
      <c r="A21" t="s">
        <v>20</v>
      </c>
      <c r="B21" s="6">
        <f>SUM(B3:B14)</f>
        <v>2483.440079</v>
      </c>
      <c r="C21" s="6"/>
      <c r="D21" s="6"/>
      <c r="H21">
        <f>SUM(H19:H20)</f>
        <v>20000</v>
      </c>
    </row>
    <row r="22" spans="1:10" x14ac:dyDescent="0.25">
      <c r="B22">
        <f>B21/2.74</f>
        <v>906.36499233576637</v>
      </c>
    </row>
    <row r="23" spans="1:10" x14ac:dyDescent="0.25">
      <c r="A23" s="2"/>
      <c r="E23" s="2" t="s">
        <v>21</v>
      </c>
      <c r="H23">
        <f>SUM(B12,B8)</f>
        <v>417.52687900000001</v>
      </c>
      <c r="I23">
        <f>SUM(B6,H23)</f>
        <v>932.52687900000001</v>
      </c>
    </row>
    <row r="24" spans="1:10" x14ac:dyDescent="0.25">
      <c r="E24" s="2">
        <f>1422-B22</f>
        <v>515.63500766423363</v>
      </c>
    </row>
    <row r="25" spans="1:10" x14ac:dyDescent="0.25">
      <c r="A25" s="3"/>
    </row>
    <row r="26" spans="1:10" x14ac:dyDescent="0.25">
      <c r="G26" s="2"/>
    </row>
    <row r="27" spans="1:10" x14ac:dyDescent="0.25">
      <c r="B27" s="8"/>
      <c r="C27" s="9"/>
    </row>
  </sheetData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zoomScaleNormal="100" workbookViewId="0">
      <selection activeCell="A11" sqref="A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53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 t="shared" ref="C3:C12" si="0"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185</v>
      </c>
      <c r="C4" s="165">
        <f t="shared" si="0"/>
        <v>185</v>
      </c>
    </row>
    <row r="5" spans="1:14" x14ac:dyDescent="0.2">
      <c r="A5" s="165" t="s">
        <v>216</v>
      </c>
      <c r="B5" s="165">
        <v>118.33</v>
      </c>
      <c r="C5" s="165">
        <f t="shared" si="0"/>
        <v>118.33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si="0"/>
        <v>39.9</v>
      </c>
      <c r="D6" s="149"/>
      <c r="E6" s="145"/>
      <c r="F6" s="145"/>
      <c r="H6" s="145"/>
      <c r="L6" s="197"/>
    </row>
    <row r="7" spans="1:14" x14ac:dyDescent="0.2">
      <c r="A7" s="165" t="s">
        <v>626</v>
      </c>
      <c r="B7" s="165">
        <v>3.5</v>
      </c>
      <c r="C7" s="165">
        <f t="shared" si="0"/>
        <v>3.5</v>
      </c>
      <c r="D7" s="149"/>
      <c r="E7" s="145"/>
      <c r="F7" s="145"/>
      <c r="H7" s="145"/>
    </row>
    <row r="8" spans="1:14" x14ac:dyDescent="0.2">
      <c r="A8" s="165" t="s">
        <v>631</v>
      </c>
      <c r="B8" s="165">
        <v>210</v>
      </c>
      <c r="C8" s="165">
        <f t="shared" si="0"/>
        <v>210</v>
      </c>
      <c r="D8" s="149"/>
      <c r="E8" s="145"/>
      <c r="F8" s="145"/>
      <c r="H8" s="145"/>
    </row>
    <row r="9" spans="1:14" x14ac:dyDescent="0.2">
      <c r="A9" s="165" t="s">
        <v>171</v>
      </c>
      <c r="B9" s="165">
        <f>50+50</f>
        <v>100</v>
      </c>
      <c r="C9" s="165">
        <f t="shared" si="0"/>
        <v>100</v>
      </c>
      <c r="E9" s="145"/>
      <c r="F9" s="145"/>
      <c r="H9" s="145"/>
      <c r="I9" s="145"/>
    </row>
    <row r="10" spans="1:14" x14ac:dyDescent="0.2">
      <c r="A10" s="165" t="s">
        <v>211</v>
      </c>
      <c r="B10" s="165">
        <f>85</f>
        <v>85</v>
      </c>
      <c r="C10" s="165">
        <f t="shared" si="0"/>
        <v>85</v>
      </c>
      <c r="D10" s="150"/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</row>
    <row r="12" spans="1:14" x14ac:dyDescent="0.2">
      <c r="A12" s="165" t="s">
        <v>622</v>
      </c>
      <c r="B12" s="165">
        <v>69</v>
      </c>
      <c r="C12" s="165">
        <f t="shared" si="0"/>
        <v>69</v>
      </c>
      <c r="D12" s="150"/>
    </row>
    <row r="13" spans="1:14" x14ac:dyDescent="0.2">
      <c r="A13" s="165" t="s">
        <v>186</v>
      </c>
      <c r="B13" s="165">
        <v>70</v>
      </c>
      <c r="C13" s="165">
        <f>70</f>
        <v>70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140</v>
      </c>
      <c r="C15" s="165">
        <f>B15</f>
        <v>140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v>14</v>
      </c>
      <c r="H16" s="147"/>
    </row>
    <row r="17" spans="1:15" x14ac:dyDescent="0.2">
      <c r="A17" s="165" t="s">
        <v>26</v>
      </c>
      <c r="B17" s="165">
        <f>I47</f>
        <v>325.52687900000001</v>
      </c>
      <c r="C17" s="165">
        <f>B17</f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>B18</f>
        <v>100</v>
      </c>
    </row>
    <row r="19" spans="1:15" ht="13.5" customHeight="1" x14ac:dyDescent="0.2">
      <c r="A19" s="196" t="s">
        <v>286</v>
      </c>
      <c r="B19" s="165">
        <v>85</v>
      </c>
      <c r="C19" s="165">
        <f>B19</f>
        <v>85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>B20</f>
        <v>64.75</v>
      </c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5"/>
      <c r="I21" s="145"/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</row>
    <row r="23" spans="1:15" x14ac:dyDescent="0.2">
      <c r="A23" s="165" t="s">
        <v>291</v>
      </c>
      <c r="B23" s="165">
        <f>0.5*H2+20</f>
        <v>31</v>
      </c>
      <c r="C23" s="165">
        <f>+B23</f>
        <v>31</v>
      </c>
    </row>
    <row r="24" spans="1:15" x14ac:dyDescent="0.2">
      <c r="A24" s="147" t="s">
        <v>430</v>
      </c>
      <c r="B24" s="147">
        <f>8.5*H2</f>
        <v>187</v>
      </c>
      <c r="C24" s="147">
        <f>8.5*G2</f>
        <v>170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40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f>(1)*G2+(2.5)*G2   +  (2.5)*G2+(1.7)*G2</f>
        <v>154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f>5*G2</f>
        <v>100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8" t="s">
        <v>61</v>
      </c>
      <c r="B28" s="165">
        <v>0</v>
      </c>
      <c r="C28" s="165">
        <v>0</v>
      </c>
      <c r="G28" s="147"/>
      <c r="H28" s="147"/>
      <c r="I28" s="147"/>
      <c r="J28" s="147"/>
      <c r="K28" s="147"/>
      <c r="L28" s="147"/>
    </row>
    <row r="29" spans="1:15" x14ac:dyDescent="0.2">
      <c r="A29" s="168" t="s">
        <v>221</v>
      </c>
      <c r="B29" s="165">
        <v>0</v>
      </c>
      <c r="C29" s="165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66" t="s">
        <v>112</v>
      </c>
      <c r="B30" s="165">
        <v>0</v>
      </c>
      <c r="C30" s="165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66" t="s">
        <v>218</v>
      </c>
      <c r="B31" s="165">
        <v>300</v>
      </c>
      <c r="C31" s="165">
        <f>B31</f>
        <v>300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66" t="s">
        <v>167</v>
      </c>
      <c r="B32" s="165">
        <v>50</v>
      </c>
      <c r="C32" s="165">
        <f>B32</f>
        <v>50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66" t="s">
        <v>374</v>
      </c>
      <c r="B33" s="165">
        <v>0</v>
      </c>
      <c r="C33" s="165">
        <v>0</v>
      </c>
      <c r="G33" s="147"/>
      <c r="H33" s="147"/>
      <c r="I33" s="147"/>
      <c r="J33" s="147"/>
      <c r="K33" s="147"/>
      <c r="L33" s="147"/>
    </row>
    <row r="34" spans="1:12" x14ac:dyDescent="0.2">
      <c r="A34" s="166" t="s">
        <v>392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428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429</v>
      </c>
      <c r="B36" s="165">
        <f>(12+2.5+8)*4</f>
        <v>90</v>
      </c>
      <c r="C36" s="165">
        <f>(12+2.5+8)*G3</f>
        <v>90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66" t="s">
        <v>591</v>
      </c>
      <c r="B37" s="165">
        <v>80</v>
      </c>
      <c r="C37" s="165">
        <f>B37</f>
        <v>80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632</v>
      </c>
      <c r="B38" s="165">
        <v>197</v>
      </c>
      <c r="C38" s="165">
        <f>B38</f>
        <v>197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619</v>
      </c>
      <c r="B39" s="165">
        <v>0</v>
      </c>
      <c r="C39" s="165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7" t="s">
        <v>395</v>
      </c>
      <c r="B40" s="167">
        <v>40</v>
      </c>
      <c r="C40" s="165">
        <v>40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3850.8968789999999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52.400000000000091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3903.296879</v>
      </c>
      <c r="C44" s="160"/>
      <c r="G44" s="146">
        <f>SUM(G42:G43)</f>
        <v>20000</v>
      </c>
    </row>
    <row r="45" spans="1:12" x14ac:dyDescent="0.2">
      <c r="A45" s="156"/>
      <c r="B45" s="157">
        <f>B44</f>
        <v>3903.296879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116.25959964285715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3"/>
  <sheetViews>
    <sheetView workbookViewId="0">
      <selection activeCell="C32" sqref="C3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56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22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  <c r="K4" s="146" t="s">
        <v>675</v>
      </c>
      <c r="L4" s="146">
        <f>SUM(B9:B11)</f>
        <v>284</v>
      </c>
      <c r="M4" s="146">
        <f>SUM(B6:B11)+I10+20</f>
        <v>553.9</v>
      </c>
    </row>
    <row r="5" spans="1:14" x14ac:dyDescent="0.2">
      <c r="A5" s="165" t="s">
        <v>216</v>
      </c>
      <c r="B5" s="165">
        <v>200</v>
      </c>
      <c r="C5" s="165">
        <f>B5</f>
        <v>200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F6" s="169">
        <f>27779-25592-2400-B38</f>
        <v>-213</v>
      </c>
      <c r="H6" s="145"/>
      <c r="L6" s="197"/>
    </row>
    <row r="7" spans="1:14" x14ac:dyDescent="0.2">
      <c r="A7" s="165" t="s">
        <v>626</v>
      </c>
      <c r="B7" s="165">
        <v>0</v>
      </c>
      <c r="C7" s="165">
        <v>0</v>
      </c>
      <c r="D7" s="149"/>
      <c r="E7" s="145"/>
      <c r="F7" s="145"/>
      <c r="H7" s="145"/>
    </row>
    <row r="8" spans="1:14" x14ac:dyDescent="0.2">
      <c r="A8" s="165" t="s">
        <v>673</v>
      </c>
      <c r="B8" s="165">
        <v>210</v>
      </c>
      <c r="C8" s="165">
        <f>B8</f>
        <v>210</v>
      </c>
      <c r="D8" s="149"/>
      <c r="E8" s="145"/>
      <c r="F8" s="146">
        <v>250</v>
      </c>
      <c r="H8" s="145"/>
      <c r="I8" s="167"/>
      <c r="J8" s="146">
        <f>210-158</f>
        <v>52</v>
      </c>
      <c r="L8" s="146">
        <f>1000-632</f>
        <v>368</v>
      </c>
      <c r="M8" s="146">
        <v>120</v>
      </c>
      <c r="N8" s="146">
        <f>370-200</f>
        <v>170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45">
        <v>130</v>
      </c>
      <c r="H9" s="145"/>
      <c r="I9" s="145"/>
      <c r="M9" s="146">
        <v>160</v>
      </c>
    </row>
    <row r="10" spans="1:14" x14ac:dyDescent="0.2">
      <c r="A10" s="165" t="s">
        <v>211</v>
      </c>
      <c r="B10" s="165">
        <f>85</f>
        <v>85</v>
      </c>
      <c r="C10" s="165">
        <f t="shared" ref="C10:C11" si="0">B10</f>
        <v>85</v>
      </c>
      <c r="D10" s="150"/>
      <c r="H10" s="197"/>
      <c r="M10" s="146">
        <f>SUM(M8:M9)</f>
        <v>280</v>
      </c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  <c r="F11" s="146">
        <f>F8+F9</f>
        <v>380</v>
      </c>
    </row>
    <row r="12" spans="1:14" x14ac:dyDescent="0.2">
      <c r="A12" s="165" t="s">
        <v>622</v>
      </c>
      <c r="B12" s="165">
        <v>0</v>
      </c>
      <c r="C12" s="165">
        <v>0</v>
      </c>
      <c r="D12" s="150"/>
      <c r="H12" s="146">
        <f>C17+C18+C19</f>
        <v>510.52687900000001</v>
      </c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 t="shared" ref="C14:C20" si="1">B14</f>
        <v>170.89</v>
      </c>
      <c r="E14" s="147"/>
      <c r="F14" s="145"/>
      <c r="H14" s="147" t="s">
        <v>676</v>
      </c>
      <c r="I14" s="146">
        <f>200+20+10</f>
        <v>230</v>
      </c>
    </row>
    <row r="15" spans="1:14" x14ac:dyDescent="0.2">
      <c r="A15" s="165" t="s">
        <v>548</v>
      </c>
      <c r="B15" s="165">
        <v>82.74</v>
      </c>
      <c r="C15" s="165">
        <f t="shared" si="1"/>
        <v>82.74</v>
      </c>
      <c r="H15" s="146" t="s">
        <v>680</v>
      </c>
      <c r="I15" s="146">
        <v>36.5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 t="shared" si="1"/>
        <v>14</v>
      </c>
      <c r="H16" s="167" t="s">
        <v>682</v>
      </c>
      <c r="I16" s="167">
        <f>304.97-I14-I15</f>
        <v>38.470000000000027</v>
      </c>
    </row>
    <row r="17" spans="1:15" x14ac:dyDescent="0.2">
      <c r="A17" s="165" t="s">
        <v>26</v>
      </c>
      <c r="B17" s="165">
        <f>I43</f>
        <v>325.52687900000001</v>
      </c>
      <c r="C17" s="165">
        <f t="shared" si="1"/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 t="shared" si="1"/>
        <v>100</v>
      </c>
    </row>
    <row r="19" spans="1:15" ht="13.5" customHeight="1" x14ac:dyDescent="0.2">
      <c r="A19" s="196" t="s">
        <v>286</v>
      </c>
      <c r="B19" s="165">
        <v>85</v>
      </c>
      <c r="C19" s="165">
        <f t="shared" si="1"/>
        <v>85</v>
      </c>
      <c r="H19" s="146" t="s">
        <v>678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 t="shared" si="1"/>
        <v>64.75</v>
      </c>
      <c r="H20" s="147"/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6" t="s">
        <v>677</v>
      </c>
      <c r="I21" s="146">
        <v>0</v>
      </c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  <c r="H22" s="146" t="s">
        <v>679</v>
      </c>
      <c r="I22" s="146">
        <v>32</v>
      </c>
    </row>
    <row r="23" spans="1:15" x14ac:dyDescent="0.2">
      <c r="A23" s="165" t="s">
        <v>291</v>
      </c>
      <c r="B23" s="165">
        <f>3*H2</f>
        <v>66</v>
      </c>
      <c r="C23" s="165">
        <f>G2*3</f>
        <v>66</v>
      </c>
      <c r="H23" s="167" t="s">
        <v>683</v>
      </c>
      <c r="I23" s="167">
        <f>304.97-I22</f>
        <v>272.97000000000003</v>
      </c>
    </row>
    <row r="24" spans="1:15" x14ac:dyDescent="0.2">
      <c r="A24" s="165" t="s">
        <v>430</v>
      </c>
      <c r="B24" s="165">
        <f>8.5*H2</f>
        <v>187</v>
      </c>
      <c r="C24" s="165">
        <f>8.5*G2</f>
        <v>187</v>
      </c>
      <c r="D24" s="147"/>
      <c r="E24" s="147"/>
      <c r="F24" s="147"/>
      <c r="G24" s="147"/>
      <c r="O24" s="145"/>
    </row>
    <row r="25" spans="1:15" x14ac:dyDescent="0.2">
      <c r="A25" s="165" t="s">
        <v>431</v>
      </c>
      <c r="B25" s="165">
        <v>120</v>
      </c>
      <c r="C25" s="165">
        <f>G2*(B25/H2)</f>
        <v>119.99999999999999</v>
      </c>
      <c r="D25" s="147"/>
      <c r="E25" s="147"/>
      <c r="F25" s="147"/>
      <c r="G25" s="147"/>
      <c r="O25" s="145"/>
    </row>
    <row r="26" spans="1:15" x14ac:dyDescent="0.2">
      <c r="A26" s="165" t="s">
        <v>87</v>
      </c>
      <c r="B26" s="165">
        <f>(1)*H2+(2.5)*H2   +  (2.5)*H2+(1.7)*H2</f>
        <v>169.4</v>
      </c>
      <c r="C26" s="165">
        <f>(1)*G2+(2.5)*G2   +  (2.5)*G2+(1.7)*G2</f>
        <v>169.4</v>
      </c>
      <c r="D26" s="147"/>
      <c r="E26" s="147"/>
      <c r="F26" s="147"/>
      <c r="G26" s="147"/>
      <c r="H26" s="147" t="s">
        <v>681</v>
      </c>
      <c r="I26" s="147">
        <v>60</v>
      </c>
      <c r="O26" s="145"/>
    </row>
    <row r="27" spans="1:15" x14ac:dyDescent="0.2">
      <c r="A27" s="165" t="s">
        <v>89</v>
      </c>
      <c r="B27" s="165">
        <f>5*H2</f>
        <v>110</v>
      </c>
      <c r="C27" s="165">
        <f>5*G2</f>
        <v>110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6" t="s">
        <v>112</v>
      </c>
      <c r="B28" s="165">
        <v>0</v>
      </c>
      <c r="C28" s="165">
        <v>0</v>
      </c>
      <c r="F28" s="145"/>
      <c r="G28" s="147"/>
      <c r="H28" s="147"/>
      <c r="I28" s="147"/>
      <c r="J28" s="147"/>
      <c r="K28" s="147"/>
      <c r="L28" s="147"/>
    </row>
    <row r="29" spans="1:15" x14ac:dyDescent="0.2">
      <c r="A29" s="166" t="s">
        <v>218</v>
      </c>
      <c r="B29" s="165">
        <v>300</v>
      </c>
      <c r="C29" s="165">
        <f>B29</f>
        <v>300</v>
      </c>
      <c r="E29" s="145"/>
      <c r="F29" s="145"/>
      <c r="G29" s="147"/>
      <c r="H29" s="147"/>
      <c r="I29" s="147"/>
      <c r="J29" s="147"/>
      <c r="K29" s="147"/>
      <c r="L29" s="147"/>
    </row>
    <row r="30" spans="1:15" x14ac:dyDescent="0.2">
      <c r="A30" s="166" t="s">
        <v>167</v>
      </c>
      <c r="B30" s="165">
        <v>60</v>
      </c>
      <c r="C30" s="165">
        <f>B30</f>
        <v>60</v>
      </c>
      <c r="D30" s="146" t="s">
        <v>538</v>
      </c>
      <c r="G30" s="147"/>
      <c r="H30" s="147"/>
      <c r="I30" s="151"/>
      <c r="J30" s="147"/>
      <c r="K30" s="147"/>
      <c r="L30" s="147"/>
    </row>
    <row r="31" spans="1:15" x14ac:dyDescent="0.2">
      <c r="A31" s="166" t="s">
        <v>428</v>
      </c>
      <c r="B31" s="165">
        <v>0</v>
      </c>
      <c r="C31" s="165">
        <v>0</v>
      </c>
      <c r="G31" s="147"/>
      <c r="H31" s="147"/>
      <c r="I31" s="147"/>
      <c r="J31" s="147"/>
      <c r="K31" s="147"/>
      <c r="L31" s="147"/>
    </row>
    <row r="32" spans="1:15" x14ac:dyDescent="0.2">
      <c r="A32" s="166" t="s">
        <v>429</v>
      </c>
      <c r="B32" s="165">
        <f>(12+2.5+8)*4</f>
        <v>90</v>
      </c>
      <c r="C32" s="165">
        <f>(12+2.5+8)*G3</f>
        <v>90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591</v>
      </c>
      <c r="B33" s="165">
        <v>80</v>
      </c>
      <c r="C33" s="165">
        <f>B33</f>
        <v>80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672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66" t="s">
        <v>619</v>
      </c>
      <c r="B35" s="165">
        <v>0</v>
      </c>
      <c r="C35" s="165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67" t="s">
        <v>395</v>
      </c>
      <c r="B36" s="167">
        <v>40</v>
      </c>
      <c r="C36" s="165">
        <f>B36</f>
        <v>40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ht="12" thickBot="1" x14ac:dyDescent="0.25">
      <c r="A37" s="146" t="s">
        <v>31</v>
      </c>
      <c r="B37" s="146">
        <f>SUM(C2:C36)</f>
        <v>3665.2068789999998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3" t="s">
        <v>24</v>
      </c>
      <c r="B38" s="154">
        <f>B40-B37</f>
        <v>0</v>
      </c>
      <c r="C38" s="155"/>
      <c r="D38" s="146" t="s">
        <v>630</v>
      </c>
      <c r="G38" s="146">
        <v>15013</v>
      </c>
      <c r="J38" s="145"/>
      <c r="K38" s="145"/>
    </row>
    <row r="39" spans="1:12" x14ac:dyDescent="0.2">
      <c r="A39" s="156"/>
      <c r="B39" s="157"/>
      <c r="C39" s="158"/>
      <c r="G39" s="146">
        <v>4987</v>
      </c>
      <c r="H39" s="157"/>
      <c r="I39" s="157"/>
    </row>
    <row r="40" spans="1:12" x14ac:dyDescent="0.2">
      <c r="A40" s="156" t="s">
        <v>20</v>
      </c>
      <c r="B40" s="159">
        <f>SUM(B2:B27)+SUM(B28:B36)</f>
        <v>3665.2068789999998</v>
      </c>
      <c r="C40" s="160"/>
      <c r="G40" s="146">
        <f>SUM(G38:G39)</f>
        <v>20000</v>
      </c>
    </row>
    <row r="41" spans="1:12" x14ac:dyDescent="0.2">
      <c r="A41" s="156"/>
      <c r="B41" s="157">
        <f>B40</f>
        <v>3665.2068789999998</v>
      </c>
      <c r="C41" s="158"/>
      <c r="G41" s="146">
        <f>G38/B42</f>
        <v>4289.4285714285716</v>
      </c>
      <c r="I41" s="145"/>
    </row>
    <row r="42" spans="1:12" x14ac:dyDescent="0.2">
      <c r="A42" s="161"/>
      <c r="B42" s="157">
        <f>3.5</f>
        <v>3.5</v>
      </c>
      <c r="C42" s="158"/>
      <c r="D42" s="145"/>
      <c r="E42" s="148"/>
      <c r="I42" s="145" t="s">
        <v>34</v>
      </c>
    </row>
    <row r="43" spans="1:12" ht="12" thickBot="1" x14ac:dyDescent="0.25">
      <c r="A43" s="162"/>
      <c r="B43" s="163"/>
      <c r="C43" s="164"/>
      <c r="D43" s="145"/>
      <c r="E43" s="145"/>
      <c r="H43" s="146">
        <f>B17/2.8</f>
        <v>116.25959964285715</v>
      </c>
      <c r="I43" s="145">
        <f>433.66*(G38)/(G38+G39)</f>
        <v>325.52687900000001</v>
      </c>
    </row>
    <row r="44" spans="1:12" x14ac:dyDescent="0.2">
      <c r="D44" s="145"/>
      <c r="E44" s="145"/>
      <c r="F44" s="145"/>
      <c r="I44" s="145"/>
    </row>
    <row r="45" spans="1:12" x14ac:dyDescent="0.2">
      <c r="D45" s="145"/>
      <c r="E45" s="145"/>
      <c r="F45" s="145"/>
      <c r="I45" s="146">
        <f>2200/B42</f>
        <v>628.57142857142856</v>
      </c>
    </row>
    <row r="46" spans="1:12" x14ac:dyDescent="0.2">
      <c r="E46" s="145"/>
    </row>
    <row r="47" spans="1:12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  <pageSetup orientation="portrait" horizontalDpi="1200" verticalDpi="1200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2"/>
  <sheetViews>
    <sheetView tabSelected="1" workbookViewId="0">
      <selection activeCell="F14" sqref="F14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57</v>
      </c>
      <c r="C1" s="146" t="s">
        <v>2</v>
      </c>
      <c r="D1" s="145"/>
      <c r="F1" s="148"/>
      <c r="N1" s="145"/>
    </row>
    <row r="2" spans="1:14" x14ac:dyDescent="0.2">
      <c r="A2" s="147" t="s">
        <v>655</v>
      </c>
      <c r="B2" s="147">
        <f>130*4</f>
        <v>520</v>
      </c>
      <c r="C2" s="147">
        <f>130+130+130</f>
        <v>390</v>
      </c>
      <c r="F2" s="145" t="s">
        <v>473</v>
      </c>
      <c r="G2" s="146">
        <v>13</v>
      </c>
      <c r="H2" s="146">
        <v>21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3</v>
      </c>
    </row>
    <row r="4" spans="1:14" x14ac:dyDescent="0.2">
      <c r="A4" s="165" t="s">
        <v>601</v>
      </c>
      <c r="B4" s="165">
        <v>200</v>
      </c>
      <c r="C4" s="165">
        <v>200</v>
      </c>
      <c r="K4" s="146" t="s">
        <v>675</v>
      </c>
      <c r="L4" s="146">
        <f>SUM(B8:B10)</f>
        <v>334</v>
      </c>
      <c r="M4" s="146">
        <f>SUM(B6:B10)+I9+20</f>
        <v>603.9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ref="C6:C11" si="0">B6</f>
        <v>39.9</v>
      </c>
      <c r="D6" s="149"/>
      <c r="E6" s="145"/>
      <c r="F6" s="169">
        <f>30021-25592-2400-B37</f>
        <v>1540.1857142857139</v>
      </c>
      <c r="H6" s="145"/>
      <c r="L6" s="197"/>
    </row>
    <row r="7" spans="1:14" x14ac:dyDescent="0.2">
      <c r="A7" s="165" t="s">
        <v>684</v>
      </c>
      <c r="B7" s="165">
        <v>210</v>
      </c>
      <c r="C7" s="165">
        <f t="shared" si="0"/>
        <v>210</v>
      </c>
      <c r="D7" s="149"/>
      <c r="E7" s="145"/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65" t="s">
        <v>171</v>
      </c>
      <c r="B8" s="165">
        <v>100</v>
      </c>
      <c r="C8" s="165">
        <f t="shared" si="0"/>
        <v>100</v>
      </c>
      <c r="E8" s="145"/>
      <c r="F8" s="145"/>
      <c r="H8" s="145"/>
      <c r="I8" s="145"/>
      <c r="M8" s="146">
        <v>160</v>
      </c>
    </row>
    <row r="9" spans="1:14" x14ac:dyDescent="0.2">
      <c r="A9" s="165" t="s">
        <v>211</v>
      </c>
      <c r="B9" s="165">
        <f>85</f>
        <v>85</v>
      </c>
      <c r="C9" s="165">
        <f t="shared" si="0"/>
        <v>85</v>
      </c>
      <c r="D9" s="150"/>
      <c r="F9" s="146">
        <f>83.3*3</f>
        <v>249.89999999999998</v>
      </c>
      <c r="H9" s="197"/>
      <c r="M9" s="146">
        <f>SUM(M7:M8)</f>
        <v>280</v>
      </c>
    </row>
    <row r="10" spans="1:14" x14ac:dyDescent="0.2">
      <c r="A10" s="165" t="s">
        <v>197</v>
      </c>
      <c r="B10" s="165">
        <v>149</v>
      </c>
      <c r="C10" s="165">
        <f t="shared" si="0"/>
        <v>149</v>
      </c>
      <c r="D10" s="150"/>
      <c r="E10" s="169" t="s">
        <v>692</v>
      </c>
      <c r="F10" s="167">
        <f>126*2/3</f>
        <v>84</v>
      </c>
    </row>
    <row r="11" spans="1:14" x14ac:dyDescent="0.2">
      <c r="A11" s="165" t="s">
        <v>622</v>
      </c>
      <c r="B11" s="165">
        <v>69</v>
      </c>
      <c r="C11" s="165">
        <f t="shared" si="0"/>
        <v>69</v>
      </c>
      <c r="D11" s="150"/>
      <c r="I11" s="146">
        <f>100-43.49</f>
        <v>56.51</v>
      </c>
      <c r="J11" s="146">
        <f>I11-15.52</f>
        <v>40.989999999999995</v>
      </c>
    </row>
    <row r="12" spans="1:14" x14ac:dyDescent="0.2">
      <c r="A12" s="147" t="s">
        <v>186</v>
      </c>
      <c r="B12" s="147">
        <v>70</v>
      </c>
      <c r="C12" s="147">
        <v>0</v>
      </c>
      <c r="D12" s="150"/>
      <c r="E12" s="147"/>
      <c r="F12" s="145"/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7"/>
      <c r="F13" s="145"/>
      <c r="H13" s="147"/>
    </row>
    <row r="14" spans="1:14" x14ac:dyDescent="0.2">
      <c r="A14" s="165" t="s">
        <v>548</v>
      </c>
      <c r="B14" s="165">
        <v>93.81</v>
      </c>
      <c r="C14" s="165">
        <f>+B14</f>
        <v>93.81</v>
      </c>
      <c r="J14" s="145"/>
      <c r="K14" s="145"/>
    </row>
    <row r="15" spans="1:14" x14ac:dyDescent="0.2">
      <c r="A15" s="147" t="s">
        <v>585</v>
      </c>
      <c r="B15" s="147">
        <v>14</v>
      </c>
      <c r="C15" s="147">
        <v>7</v>
      </c>
      <c r="L15" s="146">
        <v>20</v>
      </c>
    </row>
    <row r="16" spans="1:14" x14ac:dyDescent="0.2">
      <c r="A16" s="165" t="s">
        <v>26</v>
      </c>
      <c r="B16" s="165">
        <f>I42</f>
        <v>325.52687900000001</v>
      </c>
      <c r="C16" s="165">
        <f>B16</f>
        <v>325.52687900000001</v>
      </c>
      <c r="D16" s="145" t="s">
        <v>633</v>
      </c>
      <c r="J16" s="146">
        <f>1000-837</f>
        <v>163</v>
      </c>
      <c r="K16" s="146">
        <v>162.69999999999999</v>
      </c>
      <c r="L16" s="146">
        <v>50</v>
      </c>
    </row>
    <row r="17" spans="1:15" x14ac:dyDescent="0.2">
      <c r="A17" s="165" t="s">
        <v>419</v>
      </c>
      <c r="B17" s="165">
        <v>100</v>
      </c>
      <c r="C17" s="165">
        <f t="shared" ref="C17:C19" si="1">B17</f>
        <v>100</v>
      </c>
      <c r="L17" s="146">
        <v>40</v>
      </c>
    </row>
    <row r="18" spans="1:15" ht="13.5" customHeight="1" x14ac:dyDescent="0.2">
      <c r="A18" s="196" t="s">
        <v>286</v>
      </c>
      <c r="B18" s="165">
        <v>85</v>
      </c>
      <c r="C18" s="165">
        <f t="shared" si="1"/>
        <v>85</v>
      </c>
      <c r="K18" s="197"/>
      <c r="L18" s="146">
        <v>30</v>
      </c>
    </row>
    <row r="19" spans="1:15" x14ac:dyDescent="0.2">
      <c r="A19" s="196" t="s">
        <v>587</v>
      </c>
      <c r="B19" s="165">
        <f>(184+75)/4</f>
        <v>64.75</v>
      </c>
      <c r="C19" s="165">
        <f t="shared" si="1"/>
        <v>64.75</v>
      </c>
      <c r="H19" s="147"/>
      <c r="L19" s="146">
        <f>SUM(L15:L18)</f>
        <v>140</v>
      </c>
    </row>
    <row r="20" spans="1:15" x14ac:dyDescent="0.2">
      <c r="A20" s="165" t="s">
        <v>32</v>
      </c>
      <c r="B20" s="165">
        <v>0</v>
      </c>
      <c r="C20" s="165">
        <v>0</v>
      </c>
      <c r="E20" s="145"/>
    </row>
    <row r="21" spans="1:15" x14ac:dyDescent="0.2">
      <c r="A21" s="147" t="s">
        <v>291</v>
      </c>
      <c r="B21" s="147">
        <f>3*H2</f>
        <v>63</v>
      </c>
      <c r="C21" s="147">
        <f>G2*3</f>
        <v>39</v>
      </c>
    </row>
    <row r="22" spans="1:15" x14ac:dyDescent="0.2">
      <c r="A22" s="147" t="s">
        <v>430</v>
      </c>
      <c r="B22" s="147">
        <f>8.5*H2</f>
        <v>178.5</v>
      </c>
      <c r="C22" s="147">
        <f>8.5*G2</f>
        <v>110.5</v>
      </c>
      <c r="D22" s="147"/>
      <c r="E22" s="147"/>
      <c r="F22" s="147"/>
      <c r="G22" s="147"/>
      <c r="O22" s="145"/>
    </row>
    <row r="23" spans="1:15" x14ac:dyDescent="0.2">
      <c r="A23" s="147" t="s">
        <v>431</v>
      </c>
      <c r="B23" s="147">
        <v>120</v>
      </c>
      <c r="C23" s="147">
        <f>G2*(B23/H2)</f>
        <v>74.285714285714292</v>
      </c>
      <c r="D23" s="147"/>
      <c r="E23" s="147"/>
      <c r="F23" s="147"/>
      <c r="G23" s="147"/>
      <c r="O23" s="145"/>
    </row>
    <row r="24" spans="1:15" x14ac:dyDescent="0.2">
      <c r="A24" s="147" t="s">
        <v>87</v>
      </c>
      <c r="B24" s="147">
        <f>(1)*H2+(2.5)*H2   +  (2.5)*H2+(1.7)*H2</f>
        <v>161.69999999999999</v>
      </c>
      <c r="C24" s="147">
        <f>(1)*G2+(2.5)*G2   +  (2.5)*G2+(1.7)*G2</f>
        <v>100.1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89</v>
      </c>
      <c r="B25" s="147">
        <f>5*H2</f>
        <v>105</v>
      </c>
      <c r="C25" s="147">
        <f>5*G2</f>
        <v>65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52" t="s">
        <v>428</v>
      </c>
      <c r="B29" s="147">
        <v>0</v>
      </c>
      <c r="C29" s="147">
        <v>0</v>
      </c>
      <c r="G29" s="147"/>
      <c r="H29" s="147"/>
      <c r="I29" s="147"/>
      <c r="J29" s="147"/>
      <c r="K29" s="147"/>
      <c r="L29" s="147"/>
    </row>
    <row r="30" spans="1:15" x14ac:dyDescent="0.2">
      <c r="A30" s="152" t="s">
        <v>429</v>
      </c>
      <c r="B30" s="147">
        <f>(12+2.5+8)*4</f>
        <v>90</v>
      </c>
      <c r="C30" s="147">
        <f>(12+2.5+8)*G3</f>
        <v>67.5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66" t="s">
        <v>591</v>
      </c>
      <c r="B31" s="165">
        <v>85</v>
      </c>
      <c r="C31" s="165">
        <f>B31</f>
        <v>85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66" t="s">
        <v>685</v>
      </c>
      <c r="B32" s="165">
        <v>197</v>
      </c>
      <c r="C32" s="165">
        <f>B32</f>
        <v>197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619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691</v>
      </c>
      <c r="B34" s="165">
        <v>690</v>
      </c>
      <c r="C34" s="165">
        <f>B34</f>
        <v>690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46" t="s">
        <v>395</v>
      </c>
      <c r="B35" s="146">
        <v>40</v>
      </c>
      <c r="C35" s="147">
        <v>20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ht="12" thickBot="1" x14ac:dyDescent="0.25">
      <c r="A36" s="146" t="s">
        <v>31</v>
      </c>
      <c r="B36" s="146">
        <f>SUM(C2:C35)</f>
        <v>4007.262593285714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3" t="s">
        <v>24</v>
      </c>
      <c r="B37" s="154">
        <f>B39-B36</f>
        <v>488.81428571428614</v>
      </c>
      <c r="C37" s="155"/>
      <c r="D37" s="146" t="s">
        <v>630</v>
      </c>
      <c r="G37" s="146">
        <v>15013</v>
      </c>
      <c r="J37" s="145"/>
      <c r="K37" s="145"/>
    </row>
    <row r="38" spans="1:12" x14ac:dyDescent="0.2">
      <c r="A38" s="156"/>
      <c r="B38" s="157"/>
      <c r="C38" s="158"/>
      <c r="G38" s="146">
        <v>4987</v>
      </c>
      <c r="H38" s="157"/>
      <c r="I38" s="157"/>
    </row>
    <row r="39" spans="1:12" x14ac:dyDescent="0.2">
      <c r="A39" s="156" t="s">
        <v>20</v>
      </c>
      <c r="B39" s="159">
        <f>SUM(B2:B25)+SUM(B26:B35)</f>
        <v>4496.0768790000002</v>
      </c>
      <c r="C39" s="160"/>
      <c r="G39" s="146">
        <f>SUM(G37:G38)</f>
        <v>20000</v>
      </c>
    </row>
    <row r="40" spans="1:12" x14ac:dyDescent="0.2">
      <c r="A40" s="156"/>
      <c r="B40" s="157">
        <f>B39</f>
        <v>4496.0768790000002</v>
      </c>
      <c r="C40" s="158"/>
      <c r="G40" s="146">
        <f>G37/B41</f>
        <v>4289.4285714285716</v>
      </c>
      <c r="I40" s="145"/>
    </row>
    <row r="41" spans="1:12" x14ac:dyDescent="0.2">
      <c r="A41" s="161"/>
      <c r="B41" s="157">
        <f>3.5</f>
        <v>3.5</v>
      </c>
      <c r="C41" s="158"/>
      <c r="D41" s="145"/>
      <c r="E41" s="148"/>
      <c r="I41" s="145" t="s">
        <v>34</v>
      </c>
    </row>
    <row r="42" spans="1:12" ht="12" thickBot="1" x14ac:dyDescent="0.25">
      <c r="A42" s="162"/>
      <c r="B42" s="163"/>
      <c r="C42" s="164"/>
      <c r="D42" s="145"/>
      <c r="E42" s="145"/>
      <c r="H42" s="146">
        <f>B16/2.8</f>
        <v>116.25959964285715</v>
      </c>
      <c r="I42" s="145">
        <f>433.66*(G37)/(G37+G38)</f>
        <v>325.52687900000001</v>
      </c>
    </row>
    <row r="43" spans="1:12" x14ac:dyDescent="0.2">
      <c r="D43" s="145"/>
      <c r="E43" s="145"/>
      <c r="F43" s="145"/>
      <c r="I43" s="145"/>
    </row>
    <row r="44" spans="1:12" x14ac:dyDescent="0.2">
      <c r="D44" s="145"/>
      <c r="E44" s="145"/>
      <c r="F44" s="145"/>
      <c r="I44" s="146">
        <f>2200/B41</f>
        <v>628.57142857142856</v>
      </c>
    </row>
    <row r="45" spans="1:12" x14ac:dyDescent="0.2">
      <c r="E45" s="145"/>
    </row>
    <row r="46" spans="1:12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horizontalDpi="1200" verticalDpi="1200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0"/>
  <sheetViews>
    <sheetView workbookViewId="0">
      <selection activeCell="F6" sqref="F6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58</v>
      </c>
      <c r="C1" s="146" t="s">
        <v>2</v>
      </c>
      <c r="D1" s="145"/>
      <c r="F1" s="148"/>
      <c r="N1" s="145"/>
    </row>
    <row r="2" spans="1:14" x14ac:dyDescent="0.2">
      <c r="A2" s="147" t="s">
        <v>655</v>
      </c>
      <c r="B2" s="147">
        <f>130*4</f>
        <v>520</v>
      </c>
      <c r="C2" s="147">
        <v>0</v>
      </c>
      <c r="F2" s="145" t="s">
        <v>473</v>
      </c>
      <c r="G2" s="146">
        <v>0</v>
      </c>
      <c r="H2" s="146">
        <v>21</v>
      </c>
      <c r="I2" s="148"/>
    </row>
    <row r="3" spans="1:14" x14ac:dyDescent="0.2">
      <c r="A3" s="147" t="s">
        <v>7</v>
      </c>
      <c r="B3" s="147">
        <f>89+20</f>
        <v>109</v>
      </c>
      <c r="C3" s="147">
        <v>0</v>
      </c>
      <c r="F3" s="145" t="s">
        <v>474</v>
      </c>
      <c r="G3" s="146">
        <v>0</v>
      </c>
    </row>
    <row r="4" spans="1:14" x14ac:dyDescent="0.2">
      <c r="A4" s="147" t="s">
        <v>601</v>
      </c>
      <c r="B4" s="147">
        <v>0</v>
      </c>
      <c r="C4" s="147">
        <v>0</v>
      </c>
      <c r="K4" s="146" t="s">
        <v>675</v>
      </c>
      <c r="L4" s="146">
        <f>SUM(B8:B10)</f>
        <v>284</v>
      </c>
      <c r="M4" s="146">
        <f>SUM(B6:B10)+I9+20</f>
        <v>554.70000000000005</v>
      </c>
    </row>
    <row r="5" spans="1:14" x14ac:dyDescent="0.2">
      <c r="A5" s="147" t="s">
        <v>216</v>
      </c>
      <c r="B5" s="147">
        <v>0</v>
      </c>
      <c r="C5" s="147">
        <v>0</v>
      </c>
      <c r="D5" s="149"/>
      <c r="E5" s="145"/>
      <c r="F5" s="145"/>
      <c r="H5" s="145"/>
    </row>
    <row r="6" spans="1:14" ht="12" customHeight="1" x14ac:dyDescent="0.2">
      <c r="A6" s="147" t="s">
        <v>550</v>
      </c>
      <c r="B6" s="147">
        <v>39.9</v>
      </c>
      <c r="C6" s="147">
        <v>0</v>
      </c>
      <c r="D6" s="149"/>
      <c r="E6" s="145"/>
      <c r="F6" s="145">
        <f>4600-B35</f>
        <v>1380.1231210000001</v>
      </c>
      <c r="H6" s="145"/>
      <c r="L6" s="197"/>
    </row>
    <row r="7" spans="1:14" x14ac:dyDescent="0.2">
      <c r="A7" s="147" t="s">
        <v>693</v>
      </c>
      <c r="B7" s="147">
        <v>210.8</v>
      </c>
      <c r="C7" s="147">
        <v>0</v>
      </c>
      <c r="D7" s="149"/>
      <c r="E7" s="145"/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47" t="s">
        <v>171</v>
      </c>
      <c r="B8" s="147">
        <v>50</v>
      </c>
      <c r="C8" s="147">
        <v>0</v>
      </c>
      <c r="E8" s="145"/>
      <c r="F8" s="145"/>
      <c r="H8" s="145"/>
      <c r="I8" s="145"/>
      <c r="M8" s="146">
        <v>160</v>
      </c>
    </row>
    <row r="9" spans="1:14" x14ac:dyDescent="0.2">
      <c r="A9" s="147" t="s">
        <v>211</v>
      </c>
      <c r="B9" s="147">
        <f>85</f>
        <v>85</v>
      </c>
      <c r="C9" s="147">
        <v>0</v>
      </c>
      <c r="D9" s="150"/>
      <c r="H9" s="197"/>
      <c r="M9" s="146">
        <f>SUM(M7:M8)</f>
        <v>280</v>
      </c>
    </row>
    <row r="10" spans="1:14" x14ac:dyDescent="0.2">
      <c r="A10" s="147" t="s">
        <v>197</v>
      </c>
      <c r="B10" s="147">
        <v>149</v>
      </c>
      <c r="C10" s="147">
        <v>0</v>
      </c>
      <c r="D10" s="150"/>
      <c r="E10" s="145"/>
    </row>
    <row r="11" spans="1:14" x14ac:dyDescent="0.2">
      <c r="A11" s="147" t="s">
        <v>622</v>
      </c>
      <c r="B11" s="147">
        <v>0</v>
      </c>
      <c r="C11" s="147">
        <v>0</v>
      </c>
      <c r="D11" s="150"/>
    </row>
    <row r="12" spans="1:14" x14ac:dyDescent="0.2">
      <c r="A12" s="147" t="s">
        <v>186</v>
      </c>
      <c r="B12" s="147">
        <v>0</v>
      </c>
      <c r="C12" s="147">
        <v>0</v>
      </c>
      <c r="D12" s="150"/>
      <c r="E12" s="147"/>
      <c r="F12" s="145"/>
      <c r="J12" s="145"/>
      <c r="K12" s="145"/>
    </row>
    <row r="13" spans="1:14" x14ac:dyDescent="0.2">
      <c r="A13" s="147" t="s">
        <v>13</v>
      </c>
      <c r="B13" s="147">
        <v>170.89</v>
      </c>
      <c r="C13" s="147">
        <v>0</v>
      </c>
      <c r="E13" s="147"/>
      <c r="F13" s="145"/>
      <c r="H13" s="147"/>
    </row>
    <row r="14" spans="1:14" x14ac:dyDescent="0.2">
      <c r="A14" s="147" t="s">
        <v>548</v>
      </c>
      <c r="B14" s="147">
        <v>93.81</v>
      </c>
      <c r="C14" s="147">
        <v>0</v>
      </c>
      <c r="J14" s="145"/>
      <c r="K14" s="145"/>
    </row>
    <row r="15" spans="1:14" x14ac:dyDescent="0.2">
      <c r="A15" s="147" t="s">
        <v>585</v>
      </c>
      <c r="B15" s="147">
        <v>14</v>
      </c>
      <c r="C15" s="147">
        <v>0</v>
      </c>
    </row>
    <row r="16" spans="1:14" x14ac:dyDescent="0.2">
      <c r="A16" s="147" t="s">
        <v>26</v>
      </c>
      <c r="B16" s="147">
        <f>I40</f>
        <v>325.52687900000001</v>
      </c>
      <c r="C16" s="147">
        <v>0</v>
      </c>
      <c r="D16" s="145" t="s">
        <v>633</v>
      </c>
    </row>
    <row r="17" spans="1:15" x14ac:dyDescent="0.2">
      <c r="A17" s="147" t="s">
        <v>419</v>
      </c>
      <c r="B17" s="147">
        <v>100</v>
      </c>
      <c r="C17" s="147">
        <v>0</v>
      </c>
    </row>
    <row r="18" spans="1:15" ht="13.5" customHeight="1" x14ac:dyDescent="0.2">
      <c r="A18" s="201" t="s">
        <v>286</v>
      </c>
      <c r="B18" s="147">
        <v>85</v>
      </c>
      <c r="C18" s="147">
        <v>0</v>
      </c>
      <c r="K18" s="197"/>
    </row>
    <row r="19" spans="1:15" x14ac:dyDescent="0.2">
      <c r="A19" s="201" t="s">
        <v>587</v>
      </c>
      <c r="B19" s="147">
        <f>(184+75)/4</f>
        <v>64.75</v>
      </c>
      <c r="C19" s="147">
        <v>0</v>
      </c>
      <c r="H19" s="147"/>
    </row>
    <row r="20" spans="1:15" x14ac:dyDescent="0.2">
      <c r="A20" s="147" t="s">
        <v>32</v>
      </c>
      <c r="B20" s="147">
        <v>0</v>
      </c>
      <c r="C20" s="147">
        <v>0</v>
      </c>
      <c r="E20" s="145"/>
    </row>
    <row r="21" spans="1:15" x14ac:dyDescent="0.2">
      <c r="A21" s="147" t="s">
        <v>291</v>
      </c>
      <c r="B21" s="147">
        <f>3*H2</f>
        <v>63</v>
      </c>
      <c r="C21" s="147">
        <f>G2*3</f>
        <v>0</v>
      </c>
    </row>
    <row r="22" spans="1:15" x14ac:dyDescent="0.2">
      <c r="A22" s="147" t="s">
        <v>430</v>
      </c>
      <c r="B22" s="147">
        <f>8.5*H2</f>
        <v>178.5</v>
      </c>
      <c r="C22" s="147">
        <f>8.5*G2</f>
        <v>0</v>
      </c>
      <c r="D22" s="147"/>
      <c r="E22" s="147"/>
      <c r="F22" s="147"/>
      <c r="G22" s="147"/>
      <c r="O22" s="145"/>
    </row>
    <row r="23" spans="1:15" x14ac:dyDescent="0.2">
      <c r="A23" s="147" t="s">
        <v>431</v>
      </c>
      <c r="B23" s="147">
        <v>120</v>
      </c>
      <c r="C23" s="147">
        <f>G2*(B23/H2)</f>
        <v>0</v>
      </c>
      <c r="D23" s="147"/>
      <c r="E23" s="147"/>
      <c r="F23" s="147"/>
      <c r="G23" s="147"/>
      <c r="O23" s="145"/>
    </row>
    <row r="24" spans="1:15" x14ac:dyDescent="0.2">
      <c r="A24" s="147" t="s">
        <v>87</v>
      </c>
      <c r="B24" s="147">
        <f>(1)*H2+(2.5)*H2   +  (2.5)*H2+(1.7)*H2</f>
        <v>161.69999999999999</v>
      </c>
      <c r="C24" s="147">
        <f>(1)*G2+(2.5)*G2   +  (2.5)*G2+(1.7)*G2</f>
        <v>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89</v>
      </c>
      <c r="B25" s="147">
        <f>5*H2</f>
        <v>105</v>
      </c>
      <c r="C25" s="147">
        <f>5*G2</f>
        <v>0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52" t="s">
        <v>112</v>
      </c>
      <c r="B26" s="147">
        <v>0</v>
      </c>
      <c r="C26" s="147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52" t="s">
        <v>218</v>
      </c>
      <c r="B27" s="147">
        <v>300</v>
      </c>
      <c r="C27" s="147">
        <v>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52" t="s">
        <v>167</v>
      </c>
      <c r="B28" s="147">
        <v>60</v>
      </c>
      <c r="C28" s="147">
        <v>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52" t="s">
        <v>428</v>
      </c>
      <c r="B29" s="147">
        <v>0</v>
      </c>
      <c r="C29" s="147">
        <v>0</v>
      </c>
      <c r="G29" s="147"/>
      <c r="H29" s="147"/>
      <c r="I29" s="147"/>
      <c r="J29" s="147"/>
      <c r="K29" s="147"/>
      <c r="L29" s="147"/>
    </row>
    <row r="30" spans="1:15" x14ac:dyDescent="0.2">
      <c r="A30" s="152" t="s">
        <v>429</v>
      </c>
      <c r="B30" s="147">
        <f>(12+2.5+8)*4</f>
        <v>90</v>
      </c>
      <c r="C30" s="147">
        <f>(12+2.5+8)*G3</f>
        <v>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52" t="s">
        <v>591</v>
      </c>
      <c r="B31" s="147">
        <v>84</v>
      </c>
      <c r="C31" s="147">
        <v>0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52" t="s">
        <v>619</v>
      </c>
      <c r="B32" s="147">
        <v>0</v>
      </c>
      <c r="C32" s="147">
        <v>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46" t="s">
        <v>395</v>
      </c>
      <c r="B33" s="146">
        <v>40</v>
      </c>
      <c r="C33" s="147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ht="12" thickBot="1" x14ac:dyDescent="0.25">
      <c r="A34" s="146" t="s">
        <v>31</v>
      </c>
      <c r="B34" s="146">
        <f>SUM(C2:C33)</f>
        <v>0</v>
      </c>
      <c r="C34" s="147">
        <v>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53" t="s">
        <v>24</v>
      </c>
      <c r="B35" s="154">
        <f>B37-B34</f>
        <v>3219.8768789999999</v>
      </c>
      <c r="C35" s="155"/>
      <c r="D35" s="146" t="s">
        <v>630</v>
      </c>
      <c r="G35" s="146">
        <v>15013</v>
      </c>
      <c r="J35" s="145"/>
      <c r="K35" s="145"/>
    </row>
    <row r="36" spans="1:12" x14ac:dyDescent="0.2">
      <c r="A36" s="156"/>
      <c r="B36" s="157"/>
      <c r="C36" s="158"/>
      <c r="G36" s="146">
        <v>4987</v>
      </c>
      <c r="H36" s="157"/>
      <c r="I36" s="157"/>
    </row>
    <row r="37" spans="1:12" x14ac:dyDescent="0.2">
      <c r="A37" s="156" t="s">
        <v>20</v>
      </c>
      <c r="B37" s="159">
        <f>SUM(B2:B25)+SUM(B26:B33)</f>
        <v>3219.8768789999999</v>
      </c>
      <c r="C37" s="160"/>
      <c r="G37" s="146">
        <f>SUM(G35:G36)</f>
        <v>20000</v>
      </c>
    </row>
    <row r="38" spans="1:12" x14ac:dyDescent="0.2">
      <c r="A38" s="156"/>
      <c r="B38" s="157">
        <f>B37</f>
        <v>3219.8768789999999</v>
      </c>
      <c r="C38" s="158"/>
      <c r="G38" s="146">
        <f>G35/B39</f>
        <v>4289.4285714285716</v>
      </c>
      <c r="I38" s="145"/>
    </row>
    <row r="39" spans="1:12" x14ac:dyDescent="0.2">
      <c r="A39" s="161"/>
      <c r="B39" s="157">
        <f>3.5</f>
        <v>3.5</v>
      </c>
      <c r="C39" s="158"/>
      <c r="D39" s="145"/>
      <c r="E39" s="148"/>
      <c r="I39" s="145" t="s">
        <v>34</v>
      </c>
    </row>
    <row r="40" spans="1:12" ht="12" thickBot="1" x14ac:dyDescent="0.25">
      <c r="A40" s="162"/>
      <c r="B40" s="163"/>
      <c r="C40" s="164"/>
      <c r="D40" s="145"/>
      <c r="E40" s="145"/>
      <c r="H40" s="146">
        <f>B16/2.8</f>
        <v>116.25959964285715</v>
      </c>
      <c r="I40" s="145">
        <f>433.66*(G35)/(G35+G36)</f>
        <v>325.52687900000001</v>
      </c>
    </row>
    <row r="41" spans="1:12" x14ac:dyDescent="0.2">
      <c r="D41" s="145"/>
      <c r="E41" s="145"/>
      <c r="F41" s="145"/>
      <c r="I41" s="145"/>
    </row>
    <row r="42" spans="1:12" x14ac:dyDescent="0.2">
      <c r="D42" s="145"/>
      <c r="E42" s="145"/>
      <c r="F42" s="145"/>
      <c r="I42" s="146">
        <f>2200/B39</f>
        <v>628.57142857142856</v>
      </c>
    </row>
    <row r="43" spans="1:12" x14ac:dyDescent="0.2">
      <c r="E43" s="145"/>
    </row>
    <row r="44" spans="1:12" x14ac:dyDescent="0.2">
      <c r="E44" s="145"/>
      <c r="F44" s="145"/>
    </row>
    <row r="50" spans="1:1" x14ac:dyDescent="0.2">
      <c r="A50" s="145"/>
    </row>
  </sheetData>
  <pageMargins left="0.7" right="0.7" top="0.75" bottom="0.75" header="0.3" footer="0.3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B18" sqref="B1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0</v>
      </c>
      <c r="C1" s="146" t="s">
        <v>2</v>
      </c>
      <c r="D1" s="145"/>
      <c r="F1" s="148"/>
      <c r="N1" s="145"/>
    </row>
    <row r="2" spans="1:14" x14ac:dyDescent="0.2">
      <c r="A2" s="147" t="s">
        <v>655</v>
      </c>
      <c r="B2" s="147">
        <f>130*4</f>
        <v>520</v>
      </c>
      <c r="C2" s="147">
        <v>0</v>
      </c>
      <c r="F2" s="145" t="s">
        <v>473</v>
      </c>
      <c r="G2" s="146">
        <v>0</v>
      </c>
      <c r="H2" s="146">
        <v>21</v>
      </c>
      <c r="I2" s="148"/>
    </row>
    <row r="3" spans="1:14" x14ac:dyDescent="0.2">
      <c r="A3" s="147" t="s">
        <v>7</v>
      </c>
      <c r="B3" s="147">
        <f>89+20</f>
        <v>109</v>
      </c>
      <c r="C3" s="147">
        <v>0</v>
      </c>
      <c r="F3" s="145" t="s">
        <v>474</v>
      </c>
      <c r="G3" s="146">
        <v>0</v>
      </c>
    </row>
    <row r="4" spans="1:14" x14ac:dyDescent="0.2">
      <c r="A4" s="147" t="s">
        <v>601</v>
      </c>
      <c r="B4" s="147">
        <v>0</v>
      </c>
      <c r="C4" s="147">
        <v>0</v>
      </c>
      <c r="K4" s="146" t="s">
        <v>675</v>
      </c>
      <c r="L4" s="146">
        <f>SUM(B8:B10)</f>
        <v>284</v>
      </c>
      <c r="M4" s="146">
        <f>SUM(B6:B10)+I9+20</f>
        <v>554.70000000000005</v>
      </c>
    </row>
    <row r="5" spans="1:14" x14ac:dyDescent="0.2">
      <c r="A5" s="147" t="s">
        <v>216</v>
      </c>
      <c r="B5" s="147">
        <v>0</v>
      </c>
      <c r="C5" s="147">
        <v>0</v>
      </c>
      <c r="D5" s="149"/>
      <c r="E5" s="145"/>
      <c r="F5" s="145"/>
      <c r="H5" s="145"/>
    </row>
    <row r="6" spans="1:14" ht="12" customHeight="1" x14ac:dyDescent="0.2">
      <c r="A6" s="147" t="s">
        <v>550</v>
      </c>
      <c r="B6" s="147">
        <v>39.9</v>
      </c>
      <c r="C6" s="147">
        <v>0</v>
      </c>
      <c r="D6" s="149"/>
      <c r="E6" s="145"/>
      <c r="F6" s="145">
        <f>4600-B34</f>
        <v>1705.65</v>
      </c>
      <c r="H6" s="145"/>
      <c r="L6" s="197"/>
    </row>
    <row r="7" spans="1:14" x14ac:dyDescent="0.2">
      <c r="A7" s="147" t="s">
        <v>694</v>
      </c>
      <c r="B7" s="147">
        <v>210.8</v>
      </c>
      <c r="C7" s="147">
        <v>0</v>
      </c>
      <c r="D7" s="149"/>
      <c r="E7" s="145"/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47" t="s">
        <v>171</v>
      </c>
      <c r="B8" s="147">
        <v>50</v>
      </c>
      <c r="C8" s="147">
        <v>0</v>
      </c>
      <c r="E8" s="145"/>
      <c r="F8" s="145"/>
      <c r="H8" s="145"/>
      <c r="I8" s="145"/>
      <c r="M8" s="146">
        <v>160</v>
      </c>
    </row>
    <row r="9" spans="1:14" x14ac:dyDescent="0.2">
      <c r="A9" s="147" t="s">
        <v>211</v>
      </c>
      <c r="B9" s="147">
        <f>85</f>
        <v>85</v>
      </c>
      <c r="C9" s="147">
        <v>0</v>
      </c>
      <c r="D9" s="150"/>
      <c r="H9" s="197"/>
      <c r="M9" s="146">
        <f>SUM(M7:M8)</f>
        <v>280</v>
      </c>
    </row>
    <row r="10" spans="1:14" x14ac:dyDescent="0.2">
      <c r="A10" s="147" t="s">
        <v>197</v>
      </c>
      <c r="B10" s="147">
        <v>149</v>
      </c>
      <c r="C10" s="147">
        <v>0</v>
      </c>
      <c r="D10" s="150"/>
      <c r="E10" s="145"/>
    </row>
    <row r="11" spans="1:14" x14ac:dyDescent="0.2">
      <c r="A11" s="147" t="s">
        <v>622</v>
      </c>
      <c r="B11" s="147">
        <v>0</v>
      </c>
      <c r="C11" s="147">
        <v>0</v>
      </c>
      <c r="D11" s="150"/>
    </row>
    <row r="12" spans="1:14" x14ac:dyDescent="0.2">
      <c r="A12" s="147" t="s">
        <v>186</v>
      </c>
      <c r="B12" s="147">
        <v>0</v>
      </c>
      <c r="C12" s="147">
        <v>0</v>
      </c>
      <c r="D12" s="150"/>
      <c r="E12" s="147"/>
      <c r="F12" s="145"/>
      <c r="J12" s="145"/>
      <c r="K12" s="145"/>
    </row>
    <row r="13" spans="1:14" x14ac:dyDescent="0.2">
      <c r="A13" s="147" t="s">
        <v>13</v>
      </c>
      <c r="B13" s="147">
        <v>170.89</v>
      </c>
      <c r="C13" s="147">
        <v>0</v>
      </c>
      <c r="E13" s="147"/>
      <c r="F13" s="145"/>
      <c r="H13" s="147"/>
    </row>
    <row r="14" spans="1:14" x14ac:dyDescent="0.2">
      <c r="A14" s="147" t="s">
        <v>548</v>
      </c>
      <c r="B14" s="147">
        <v>93.81</v>
      </c>
      <c r="C14" s="147">
        <v>0</v>
      </c>
      <c r="J14" s="145"/>
      <c r="K14" s="145"/>
    </row>
    <row r="15" spans="1:14" x14ac:dyDescent="0.2">
      <c r="A15" s="147" t="s">
        <v>585</v>
      </c>
      <c r="B15" s="147">
        <v>14</v>
      </c>
      <c r="C15" s="147">
        <v>0</v>
      </c>
    </row>
    <row r="16" spans="1:14" x14ac:dyDescent="0.2">
      <c r="A16" s="147" t="s">
        <v>419</v>
      </c>
      <c r="B16" s="147">
        <v>100</v>
      </c>
      <c r="C16" s="147">
        <v>0</v>
      </c>
    </row>
    <row r="17" spans="1:15" ht="13.5" customHeight="1" x14ac:dyDescent="0.2">
      <c r="A17" s="201" t="s">
        <v>286</v>
      </c>
      <c r="B17" s="147">
        <v>85</v>
      </c>
      <c r="C17" s="147">
        <v>0</v>
      </c>
      <c r="K17" s="197"/>
    </row>
    <row r="18" spans="1:15" x14ac:dyDescent="0.2">
      <c r="A18" s="201" t="s">
        <v>587</v>
      </c>
      <c r="B18" s="147">
        <f>(184+75)/4</f>
        <v>64.75</v>
      </c>
      <c r="C18" s="147">
        <v>0</v>
      </c>
      <c r="H18" s="147"/>
    </row>
    <row r="19" spans="1:15" x14ac:dyDescent="0.2">
      <c r="A19" s="147" t="s">
        <v>32</v>
      </c>
      <c r="B19" s="147">
        <v>0</v>
      </c>
      <c r="C19" s="147">
        <v>0</v>
      </c>
      <c r="E19" s="145"/>
    </row>
    <row r="20" spans="1:15" x14ac:dyDescent="0.2">
      <c r="A20" s="147" t="s">
        <v>291</v>
      </c>
      <c r="B20" s="147">
        <f>3*H2</f>
        <v>63</v>
      </c>
      <c r="C20" s="147">
        <f>G2*3</f>
        <v>0</v>
      </c>
    </row>
    <row r="21" spans="1:15" x14ac:dyDescent="0.2">
      <c r="A21" s="147" t="s">
        <v>430</v>
      </c>
      <c r="B21" s="147">
        <f>8.5*H2</f>
        <v>178.5</v>
      </c>
      <c r="C21" s="147">
        <f>8.5*G2</f>
        <v>0</v>
      </c>
      <c r="D21" s="147"/>
      <c r="E21" s="147"/>
      <c r="F21" s="147"/>
      <c r="G21" s="147"/>
      <c r="O21" s="145"/>
    </row>
    <row r="22" spans="1:15" x14ac:dyDescent="0.2">
      <c r="A22" s="147" t="s">
        <v>431</v>
      </c>
      <c r="B22" s="147">
        <v>120</v>
      </c>
      <c r="C22" s="147">
        <f>G2*(B22/H2)</f>
        <v>0</v>
      </c>
      <c r="D22" s="147"/>
      <c r="E22" s="147"/>
      <c r="F22" s="147"/>
      <c r="G22" s="147"/>
      <c r="O22" s="145"/>
    </row>
    <row r="23" spans="1:15" x14ac:dyDescent="0.2">
      <c r="A23" s="147" t="s">
        <v>87</v>
      </c>
      <c r="B23" s="147">
        <f>(1)*H2+(2.5)*H2   +  (2.5)*H2+(1.7)*H2</f>
        <v>161.69999999999999</v>
      </c>
      <c r="C23" s="147">
        <f>(1)*G2+(2.5)*G2   +  (2.5)*G2+(1.7)*G2</f>
        <v>0</v>
      </c>
      <c r="D23" s="147"/>
      <c r="E23" s="147"/>
      <c r="F23" s="147"/>
      <c r="G23" s="147"/>
      <c r="H23" s="147"/>
      <c r="I23" s="147"/>
      <c r="O23" s="145"/>
    </row>
    <row r="24" spans="1:15" x14ac:dyDescent="0.2">
      <c r="A24" s="147" t="s">
        <v>89</v>
      </c>
      <c r="B24" s="147">
        <f>5*H2</f>
        <v>105</v>
      </c>
      <c r="C24" s="147">
        <f>5*G2</f>
        <v>0</v>
      </c>
      <c r="D24" s="147"/>
      <c r="E24" s="147"/>
      <c r="J24" s="147"/>
      <c r="K24" s="147"/>
      <c r="L24" s="147"/>
      <c r="M24" s="147"/>
      <c r="O24" s="145"/>
    </row>
    <row r="25" spans="1:15" x14ac:dyDescent="0.2">
      <c r="A25" s="152" t="s">
        <v>112</v>
      </c>
      <c r="B25" s="147">
        <v>0</v>
      </c>
      <c r="C25" s="147">
        <v>0</v>
      </c>
      <c r="F25" s="145"/>
      <c r="G25" s="147"/>
      <c r="H25" s="147"/>
      <c r="I25" s="147"/>
      <c r="J25" s="147"/>
      <c r="K25" s="147"/>
      <c r="L25" s="147"/>
    </row>
    <row r="26" spans="1:15" x14ac:dyDescent="0.2">
      <c r="A26" s="152" t="s">
        <v>218</v>
      </c>
      <c r="B26" s="147">
        <v>300</v>
      </c>
      <c r="C26" s="147">
        <v>0</v>
      </c>
      <c r="E26" s="145"/>
      <c r="F26" s="145"/>
      <c r="G26" s="147"/>
      <c r="H26" s="147"/>
      <c r="I26" s="147"/>
      <c r="J26" s="147"/>
      <c r="K26" s="147"/>
      <c r="L26" s="147"/>
    </row>
    <row r="27" spans="1:15" x14ac:dyDescent="0.2">
      <c r="A27" s="152" t="s">
        <v>167</v>
      </c>
      <c r="B27" s="147">
        <v>60</v>
      </c>
      <c r="C27" s="147">
        <v>0</v>
      </c>
      <c r="D27" s="146" t="s">
        <v>538</v>
      </c>
      <c r="G27" s="147"/>
      <c r="H27" s="147"/>
      <c r="I27" s="151"/>
      <c r="J27" s="147"/>
      <c r="K27" s="147"/>
      <c r="L27" s="147"/>
    </row>
    <row r="28" spans="1:15" x14ac:dyDescent="0.2">
      <c r="A28" s="152" t="s">
        <v>428</v>
      </c>
      <c r="B28" s="147">
        <v>0</v>
      </c>
      <c r="C28" s="147">
        <v>0</v>
      </c>
      <c r="G28" s="147"/>
      <c r="H28" s="147"/>
      <c r="I28" s="147"/>
      <c r="J28" s="147"/>
      <c r="K28" s="147"/>
      <c r="L28" s="147"/>
    </row>
    <row r="29" spans="1:15" x14ac:dyDescent="0.2">
      <c r="A29" s="152" t="s">
        <v>429</v>
      </c>
      <c r="B29" s="147">
        <f>(12+2.5+8)*4</f>
        <v>90</v>
      </c>
      <c r="C29" s="147">
        <f>(12+2.5+8)*G3</f>
        <v>0</v>
      </c>
      <c r="D29" s="147"/>
      <c r="E29" s="147"/>
      <c r="F29" s="147"/>
      <c r="G29" s="147"/>
      <c r="H29" s="147"/>
      <c r="I29" s="147"/>
      <c r="J29" s="147"/>
      <c r="K29" s="147"/>
      <c r="L29" s="147"/>
    </row>
    <row r="30" spans="1:15" x14ac:dyDescent="0.2">
      <c r="A30" s="152" t="s">
        <v>591</v>
      </c>
      <c r="B30" s="147">
        <v>84</v>
      </c>
      <c r="C30" s="147">
        <v>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52" t="s">
        <v>619</v>
      </c>
      <c r="B31" s="147">
        <v>0</v>
      </c>
      <c r="C31" s="147">
        <v>0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46" t="s">
        <v>395</v>
      </c>
      <c r="B32" s="146">
        <v>40</v>
      </c>
      <c r="C32" s="147">
        <v>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0</v>
      </c>
      <c r="C33" s="147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2894.35</v>
      </c>
      <c r="C34" s="155"/>
      <c r="D34" s="146" t="s">
        <v>630</v>
      </c>
      <c r="G34" s="146">
        <v>15013</v>
      </c>
      <c r="J34" s="145"/>
      <c r="K34" s="145"/>
    </row>
    <row r="35" spans="1:12" x14ac:dyDescent="0.2">
      <c r="A35" s="156"/>
      <c r="B35" s="157"/>
      <c r="C35" s="158"/>
      <c r="G35" s="146">
        <v>4987</v>
      </c>
      <c r="H35" s="157"/>
      <c r="I35" s="157"/>
    </row>
    <row r="36" spans="1:12" x14ac:dyDescent="0.2">
      <c r="A36" s="156" t="s">
        <v>20</v>
      </c>
      <c r="B36" s="159">
        <f>SUM(B2:B24)+SUM(B25:B32)</f>
        <v>2894.35</v>
      </c>
      <c r="C36" s="160"/>
      <c r="G36" s="146">
        <f>SUM(G34:G35)</f>
        <v>20000</v>
      </c>
    </row>
    <row r="37" spans="1:12" x14ac:dyDescent="0.2">
      <c r="A37" s="156"/>
      <c r="B37" s="157">
        <f>B36</f>
        <v>2894.35</v>
      </c>
      <c r="C37" s="158"/>
      <c r="G37" s="146">
        <f>G34/B38</f>
        <v>4289.4285714285716</v>
      </c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I38" s="145" t="s">
        <v>34</v>
      </c>
    </row>
    <row r="39" spans="1:12" ht="12" thickBot="1" x14ac:dyDescent="0.25">
      <c r="A39" s="162"/>
      <c r="B39" s="163"/>
      <c r="C39" s="164"/>
      <c r="D39" s="145"/>
      <c r="E39" s="145"/>
      <c r="H39" s="146" t="e">
        <f>#REF!/2.8</f>
        <v>#REF!</v>
      </c>
      <c r="I39" s="145">
        <f>433.66*(G34)/(G34+G35)</f>
        <v>325.52687900000001</v>
      </c>
    </row>
    <row r="40" spans="1:12" x14ac:dyDescent="0.2">
      <c r="D40" s="145"/>
      <c r="E40" s="145"/>
      <c r="F40" s="145"/>
      <c r="I40" s="145"/>
    </row>
    <row r="41" spans="1:12" x14ac:dyDescent="0.2">
      <c r="D41" s="145"/>
      <c r="E41" s="145"/>
      <c r="F41" s="145"/>
      <c r="I41" s="146">
        <f>2200/B38</f>
        <v>628.57142857142856</v>
      </c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"/>
  <sheetViews>
    <sheetView workbookViewId="0">
      <selection activeCell="F7" sqref="F7"/>
    </sheetView>
  </sheetViews>
  <sheetFormatPr baseColWidth="10" defaultRowHeight="15" x14ac:dyDescent="0.25"/>
  <cols>
    <col min="1" max="1" width="34.5703125" bestFit="1" customWidth="1"/>
  </cols>
  <sheetData>
    <row r="1" spans="1:6" x14ac:dyDescent="0.25">
      <c r="A1" t="s">
        <v>695</v>
      </c>
      <c r="D1" t="s">
        <v>696</v>
      </c>
      <c r="E1">
        <v>3.35</v>
      </c>
    </row>
    <row r="2" spans="1:6" x14ac:dyDescent="0.25">
      <c r="B2" t="s">
        <v>699</v>
      </c>
      <c r="C2" t="s">
        <v>700</v>
      </c>
      <c r="E2" s="202" t="s">
        <v>703</v>
      </c>
      <c r="F2" s="203" t="s">
        <v>527</v>
      </c>
    </row>
    <row r="3" spans="1:6" x14ac:dyDescent="0.25">
      <c r="A3" t="s">
        <v>697</v>
      </c>
      <c r="B3">
        <f>159.06/2</f>
        <v>79.53</v>
      </c>
      <c r="C3">
        <f>B3*E1</f>
        <v>266.4255</v>
      </c>
      <c r="E3" s="202"/>
      <c r="F3" s="203"/>
    </row>
    <row r="4" spans="1:6" x14ac:dyDescent="0.25">
      <c r="A4" t="s">
        <v>698</v>
      </c>
      <c r="B4">
        <f>159.06/2</f>
        <v>79.53</v>
      </c>
      <c r="C4">
        <f>B4*E1</f>
        <v>266.4255</v>
      </c>
      <c r="E4" s="202"/>
      <c r="F4" s="203"/>
    </row>
    <row r="5" spans="1:6" x14ac:dyDescent="0.25">
      <c r="A5" t="s">
        <v>701</v>
      </c>
      <c r="B5">
        <f>460/2</f>
        <v>230</v>
      </c>
      <c r="C5">
        <f>B5*$E$1</f>
        <v>770.5</v>
      </c>
      <c r="E5" s="202"/>
      <c r="F5" s="203"/>
    </row>
    <row r="6" spans="1:6" x14ac:dyDescent="0.25">
      <c r="A6" t="s">
        <v>702</v>
      </c>
      <c r="B6">
        <f>460/2</f>
        <v>230</v>
      </c>
      <c r="C6">
        <f>B6*$E$1</f>
        <v>770.5</v>
      </c>
      <c r="E6" s="202"/>
      <c r="F6" s="203"/>
    </row>
    <row r="7" spans="1:6" x14ac:dyDescent="0.25">
      <c r="A7" s="5" t="s">
        <v>246</v>
      </c>
      <c r="B7" s="5"/>
      <c r="C7" s="5"/>
      <c r="D7" s="5"/>
      <c r="E7" s="204">
        <f>C3+C5</f>
        <v>1036.9255000000001</v>
      </c>
      <c r="F7" s="205">
        <f>C4+C6</f>
        <v>1036.9255000000001</v>
      </c>
    </row>
  </sheetData>
  <pageMargins left="0.7" right="0.7" top="0.75" bottom="0.75" header="0.3" footer="0.3"/>
  <pageSetup orientation="portrait" horizontalDpi="1200" verticalDpi="1200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A17" sqref="A17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370</v>
      </c>
      <c r="C3" s="3" t="s">
        <v>23</v>
      </c>
      <c r="D3" s="3">
        <f>B3</f>
        <v>370</v>
      </c>
      <c r="E3" s="3" t="s">
        <v>23</v>
      </c>
      <c r="F3" s="3">
        <v>15023</v>
      </c>
      <c r="G3" s="3" t="s">
        <v>28</v>
      </c>
      <c r="J3" s="3">
        <f>B10+B14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5*2.88+21</f>
        <v>35.4</v>
      </c>
      <c r="C5" s="3" t="s">
        <v>52</v>
      </c>
      <c r="D5" s="3">
        <f>B5</f>
        <v>35.4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48</v>
      </c>
      <c r="B6" s="3">
        <v>300</v>
      </c>
      <c r="D6" s="3">
        <f>B6</f>
        <v>300</v>
      </c>
      <c r="E6" s="3" t="s">
        <v>23</v>
      </c>
    </row>
    <row r="7" spans="1:10" s="3" customFormat="1" x14ac:dyDescent="0.25">
      <c r="A7" s="3" t="s">
        <v>49</v>
      </c>
      <c r="B7" s="3">
        <v>150</v>
      </c>
      <c r="D7" s="3">
        <f t="shared" ref="D7:D9" si="0">B7</f>
        <v>150</v>
      </c>
    </row>
    <row r="8" spans="1:10" s="3" customFormat="1" x14ac:dyDescent="0.25">
      <c r="A8" s="3" t="s">
        <v>50</v>
      </c>
      <c r="B8" s="3">
        <v>65</v>
      </c>
      <c r="D8" s="3">
        <f t="shared" si="0"/>
        <v>65</v>
      </c>
    </row>
    <row r="9" spans="1:10" s="3" customFormat="1" x14ac:dyDescent="0.25">
      <c r="A9" s="3" t="s">
        <v>51</v>
      </c>
      <c r="B9" s="3">
        <v>65</v>
      </c>
      <c r="D9" s="3">
        <f t="shared" si="0"/>
        <v>65</v>
      </c>
      <c r="E9" s="3" t="s">
        <v>23</v>
      </c>
      <c r="J9" s="5"/>
    </row>
    <row r="10" spans="1:10" s="3" customFormat="1" x14ac:dyDescent="0.25">
      <c r="A10" s="3" t="s">
        <v>12</v>
      </c>
      <c r="B10" s="3">
        <v>92</v>
      </c>
      <c r="D10" s="3">
        <f t="shared" ref="D10:D15" si="1">B10</f>
        <v>92</v>
      </c>
      <c r="E10" s="3" t="s">
        <v>23</v>
      </c>
    </row>
    <row r="11" spans="1:10" s="3" customFormat="1" x14ac:dyDescent="0.25">
      <c r="A11" s="3" t="s">
        <v>13</v>
      </c>
      <c r="B11" s="3">
        <v>122.18</v>
      </c>
      <c r="C11" s="3" t="s">
        <v>23</v>
      </c>
      <c r="D11" s="3">
        <f t="shared" si="1"/>
        <v>122.18</v>
      </c>
      <c r="E11" s="3" t="s">
        <v>23</v>
      </c>
    </row>
    <row r="12" spans="1:10" s="3" customFormat="1" x14ac:dyDescent="0.25">
      <c r="A12" s="3" t="s">
        <v>15</v>
      </c>
      <c r="B12" s="3">
        <v>60</v>
      </c>
      <c r="C12" s="3" t="s">
        <v>23</v>
      </c>
      <c r="D12" s="3">
        <f t="shared" si="1"/>
        <v>60</v>
      </c>
      <c r="E12" s="3" t="s">
        <v>23</v>
      </c>
    </row>
    <row r="13" spans="1:10" s="3" customFormat="1" x14ac:dyDescent="0.25">
      <c r="A13" s="3" t="s">
        <v>17</v>
      </c>
      <c r="B13" s="3">
        <v>10</v>
      </c>
      <c r="C13" s="3" t="s">
        <v>23</v>
      </c>
      <c r="D13" s="3">
        <f t="shared" si="1"/>
        <v>10</v>
      </c>
      <c r="E13" s="3" t="s">
        <v>23</v>
      </c>
      <c r="J13" s="5"/>
    </row>
    <row r="14" spans="1:10" s="3" customFormat="1" x14ac:dyDescent="0.25">
      <c r="A14" s="3" t="s">
        <v>26</v>
      </c>
      <c r="B14" s="3">
        <f>J21</f>
        <v>325.52687900000001</v>
      </c>
      <c r="D14" s="3">
        <f t="shared" si="1"/>
        <v>325.52687900000001</v>
      </c>
      <c r="E14" s="3" t="s">
        <v>23</v>
      </c>
      <c r="J14" s="5"/>
    </row>
    <row r="15" spans="1:10" s="3" customFormat="1" x14ac:dyDescent="0.25">
      <c r="A15" s="3" t="s">
        <v>27</v>
      </c>
      <c r="B15" s="3">
        <f>125.64*2.88</f>
        <v>361.84319999999997</v>
      </c>
      <c r="D15" s="3">
        <f t="shared" si="1"/>
        <v>361.84319999999997</v>
      </c>
      <c r="E15" s="3" t="s">
        <v>23</v>
      </c>
      <c r="J15" s="5"/>
    </row>
    <row r="16" spans="1:10" s="3" customFormat="1" x14ac:dyDescent="0.25">
      <c r="A16" s="3" t="s">
        <v>32</v>
      </c>
      <c r="B16" s="3">
        <v>130</v>
      </c>
      <c r="D16" s="3">
        <f>3.3+35+15+23.44+3.5+35+15</f>
        <v>130.24</v>
      </c>
      <c r="E16" s="3" t="s">
        <v>23</v>
      </c>
      <c r="J16" s="5"/>
    </row>
    <row r="17" spans="1:10" s="10" customFormat="1" x14ac:dyDescent="0.25">
      <c r="J17" s="11"/>
    </row>
    <row r="19" spans="1:10" s="4" customFormat="1" x14ac:dyDescent="0.25">
      <c r="D19" s="4">
        <f>87+50+20</f>
        <v>157</v>
      </c>
      <c r="G19">
        <v>57.16</v>
      </c>
      <c r="H19" s="4">
        <f>D3-B3</f>
        <v>0</v>
      </c>
      <c r="J19" s="7"/>
    </row>
    <row r="20" spans="1:10" s="4" customFormat="1" x14ac:dyDescent="0.25">
      <c r="A20" s="4" t="s">
        <v>31</v>
      </c>
      <c r="B20" s="4">
        <f>SUM(D3:D16)</f>
        <v>2378.6800789999998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-0.23999999999978172</v>
      </c>
      <c r="C21" s="4">
        <f>B21+1100+2800-275-(156.85+2)-500-(23.44+549.24)</f>
        <v>2393.2300000000005</v>
      </c>
      <c r="G21"/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B14+B10-60-20</f>
        <v>337.52687900000001</v>
      </c>
      <c r="E22" s="4">
        <f>SUM(B6:B9)+D22</f>
        <v>917.52687900000001</v>
      </c>
      <c r="F22" s="4">
        <f>SUM(B6:B9)</f>
        <v>580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SUM(B3:B16)</f>
        <v>2378.440079</v>
      </c>
      <c r="C23" s="6">
        <f>B5+23.44+549.24</f>
        <v>608.08000000000004</v>
      </c>
      <c r="D23" s="6"/>
      <c r="H23">
        <f>SUM(H21:H22)</f>
        <v>20000</v>
      </c>
    </row>
    <row r="24" spans="1:10" x14ac:dyDescent="0.25">
      <c r="B24">
        <f>B23/2.74</f>
        <v>868.04382445255465</v>
      </c>
      <c r="C24">
        <f>5*2.88</f>
        <v>14.399999999999999</v>
      </c>
    </row>
    <row r="25" spans="1:10" x14ac:dyDescent="0.25">
      <c r="A25" s="2"/>
      <c r="C25">
        <f>21+23.44+549.24</f>
        <v>593.68000000000006</v>
      </c>
      <c r="E25" s="2" t="s">
        <v>21</v>
      </c>
      <c r="H25">
        <f>SUM(B14,B10)</f>
        <v>417.52687900000001</v>
      </c>
      <c r="I25">
        <f>SUM(B6,H25)</f>
        <v>717.52687900000001</v>
      </c>
    </row>
    <row r="26" spans="1:10" x14ac:dyDescent="0.25">
      <c r="E26" s="2">
        <f>1382-B24</f>
        <v>513.95617554744535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workbookViewId="0">
      <selection activeCell="F8" sqref="F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663</v>
      </c>
      <c r="C1" s="146" t="s">
        <v>2</v>
      </c>
      <c r="D1" s="145"/>
      <c r="F1" s="148"/>
      <c r="N1" s="145"/>
    </row>
    <row r="2" spans="1:14" x14ac:dyDescent="0.2">
      <c r="A2" s="147" t="s">
        <v>655</v>
      </c>
      <c r="B2" s="147">
        <v>400</v>
      </c>
      <c r="C2" s="147">
        <v>0</v>
      </c>
      <c r="F2" s="145" t="s">
        <v>473</v>
      </c>
      <c r="G2" s="146">
        <v>1</v>
      </c>
      <c r="H2" s="146">
        <v>22</v>
      </c>
      <c r="I2" s="148"/>
    </row>
    <row r="3" spans="1:14" x14ac:dyDescent="0.2">
      <c r="A3" s="147" t="s">
        <v>7</v>
      </c>
      <c r="B3" s="147">
        <v>0</v>
      </c>
      <c r="C3" s="147">
        <v>0</v>
      </c>
      <c r="F3" s="145" t="s">
        <v>474</v>
      </c>
      <c r="G3" s="146">
        <v>2</v>
      </c>
    </row>
    <row r="4" spans="1:14" x14ac:dyDescent="0.2">
      <c r="A4" s="147" t="s">
        <v>601</v>
      </c>
      <c r="B4" s="147">
        <v>0</v>
      </c>
      <c r="C4" s="147">
        <v>0</v>
      </c>
    </row>
    <row r="5" spans="1:14" x14ac:dyDescent="0.2">
      <c r="A5" s="147" t="s">
        <v>216</v>
      </c>
      <c r="B5" s="147">
        <v>0</v>
      </c>
      <c r="C5" s="147">
        <v>0</v>
      </c>
      <c r="D5" s="149"/>
      <c r="E5" s="145"/>
      <c r="F5" s="145"/>
      <c r="H5" s="145"/>
    </row>
    <row r="6" spans="1:14" ht="12" customHeight="1" x14ac:dyDescent="0.2">
      <c r="A6" s="147" t="s">
        <v>550</v>
      </c>
      <c r="B6" s="147">
        <v>0</v>
      </c>
      <c r="C6" s="147">
        <v>0</v>
      </c>
      <c r="D6" s="149"/>
      <c r="E6" s="145"/>
      <c r="F6" s="145"/>
      <c r="H6" s="145"/>
      <c r="L6" s="197"/>
    </row>
    <row r="7" spans="1:14" x14ac:dyDescent="0.2">
      <c r="A7" s="147" t="s">
        <v>626</v>
      </c>
      <c r="B7" s="147">
        <v>0</v>
      </c>
      <c r="C7" s="147">
        <v>0</v>
      </c>
      <c r="D7" s="149"/>
      <c r="E7" s="145"/>
      <c r="F7" s="145"/>
      <c r="H7" s="145"/>
    </row>
    <row r="8" spans="1:14" x14ac:dyDescent="0.2">
      <c r="A8" s="147" t="s">
        <v>631</v>
      </c>
      <c r="B8" s="147">
        <v>210</v>
      </c>
      <c r="C8" s="147">
        <v>0</v>
      </c>
      <c r="D8" s="149"/>
      <c r="E8" s="145"/>
      <c r="F8" s="145">
        <f>4600-B42</f>
        <v>2193.3866666666668</v>
      </c>
      <c r="H8" s="145"/>
    </row>
    <row r="9" spans="1:14" x14ac:dyDescent="0.2">
      <c r="A9" s="147" t="s">
        <v>171</v>
      </c>
      <c r="B9" s="147">
        <v>50</v>
      </c>
      <c r="C9" s="147">
        <v>0</v>
      </c>
      <c r="E9" s="145"/>
      <c r="F9" s="145"/>
      <c r="H9" s="145"/>
      <c r="I9" s="145"/>
    </row>
    <row r="10" spans="1:14" x14ac:dyDescent="0.2">
      <c r="A10" s="147" t="s">
        <v>211</v>
      </c>
      <c r="B10" s="147">
        <f>85</f>
        <v>85</v>
      </c>
      <c r="C10" s="147">
        <v>0</v>
      </c>
      <c r="D10" s="150"/>
    </row>
    <row r="11" spans="1:14" x14ac:dyDescent="0.2">
      <c r="A11" s="147" t="s">
        <v>197</v>
      </c>
      <c r="B11" s="147">
        <v>149</v>
      </c>
      <c r="C11" s="147">
        <v>0</v>
      </c>
      <c r="D11" s="150"/>
    </row>
    <row r="12" spans="1:14" x14ac:dyDescent="0.2">
      <c r="A12" s="147" t="s">
        <v>622</v>
      </c>
      <c r="B12" s="147">
        <f>69/2</f>
        <v>34.5</v>
      </c>
      <c r="C12" s="147">
        <v>0</v>
      </c>
      <c r="D12" s="150"/>
    </row>
    <row r="13" spans="1:14" x14ac:dyDescent="0.2">
      <c r="A13" s="147" t="s">
        <v>186</v>
      </c>
      <c r="B13" s="147">
        <f>80/3</f>
        <v>26.666666666666668</v>
      </c>
      <c r="C13" s="147">
        <v>0</v>
      </c>
      <c r="D13" s="150"/>
      <c r="E13" s="147"/>
      <c r="F13" s="145"/>
      <c r="J13" s="145"/>
      <c r="K13" s="145"/>
    </row>
    <row r="14" spans="1:14" x14ac:dyDescent="0.2">
      <c r="A14" s="147" t="s">
        <v>13</v>
      </c>
      <c r="B14" s="147">
        <v>170.89</v>
      </c>
      <c r="C14" s="147">
        <v>0</v>
      </c>
      <c r="E14" s="147"/>
      <c r="F14" s="145"/>
      <c r="H14" s="147"/>
    </row>
    <row r="15" spans="1:14" x14ac:dyDescent="0.2">
      <c r="A15" s="147" t="s">
        <v>548</v>
      </c>
      <c r="B15" s="147">
        <v>82.74</v>
      </c>
      <c r="C15" s="147">
        <v>0</v>
      </c>
      <c r="J15" s="145"/>
      <c r="K15" s="145"/>
    </row>
    <row r="16" spans="1:14" x14ac:dyDescent="0.2">
      <c r="A16" s="147" t="s">
        <v>585</v>
      </c>
      <c r="B16" s="147">
        <v>14</v>
      </c>
      <c r="C16" s="147">
        <v>0</v>
      </c>
      <c r="H16" s="147"/>
    </row>
    <row r="17" spans="1:15" x14ac:dyDescent="0.2">
      <c r="A17" s="147" t="s">
        <v>26</v>
      </c>
      <c r="B17" s="147">
        <v>0</v>
      </c>
      <c r="C17" s="147">
        <v>0</v>
      </c>
      <c r="D17" s="145"/>
    </row>
    <row r="18" spans="1:15" x14ac:dyDescent="0.2">
      <c r="A18" s="147" t="s">
        <v>419</v>
      </c>
      <c r="B18" s="147">
        <v>0</v>
      </c>
      <c r="C18" s="147">
        <v>0</v>
      </c>
    </row>
    <row r="19" spans="1:15" ht="13.5" customHeight="1" x14ac:dyDescent="0.2">
      <c r="A19" s="201" t="s">
        <v>286</v>
      </c>
      <c r="B19" s="147">
        <v>85</v>
      </c>
      <c r="C19" s="147">
        <v>0</v>
      </c>
      <c r="K19" s="197"/>
    </row>
    <row r="20" spans="1:15" x14ac:dyDescent="0.2">
      <c r="A20" s="201" t="s">
        <v>587</v>
      </c>
      <c r="B20" s="147">
        <f>(184+75)/4</f>
        <v>64.75</v>
      </c>
      <c r="C20" s="147">
        <v>0</v>
      </c>
    </row>
    <row r="21" spans="1:15" x14ac:dyDescent="0.2">
      <c r="A21" s="147" t="s">
        <v>32</v>
      </c>
      <c r="B21" s="147">
        <v>0</v>
      </c>
      <c r="C21" s="147">
        <v>0</v>
      </c>
      <c r="E21" s="145"/>
      <c r="H21" s="145"/>
      <c r="I21" s="145"/>
    </row>
    <row r="22" spans="1:15" x14ac:dyDescent="0.2">
      <c r="A22" s="147" t="s">
        <v>84</v>
      </c>
      <c r="B22" s="147">
        <v>160</v>
      </c>
      <c r="C22" s="147">
        <v>0</v>
      </c>
      <c r="E22" s="147"/>
    </row>
    <row r="23" spans="1:15" x14ac:dyDescent="0.2">
      <c r="A23" s="147" t="s">
        <v>291</v>
      </c>
      <c r="B23" s="147">
        <f>0.5*H2+20</f>
        <v>31</v>
      </c>
      <c r="C23" s="147">
        <v>0</v>
      </c>
    </row>
    <row r="24" spans="1:15" x14ac:dyDescent="0.2">
      <c r="A24" s="147" t="s">
        <v>430</v>
      </c>
      <c r="B24" s="147">
        <f>8.5*H2</f>
        <v>187</v>
      </c>
      <c r="C24" s="147">
        <v>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v>0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v>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51" t="s">
        <v>61</v>
      </c>
      <c r="B28" s="147">
        <v>0</v>
      </c>
      <c r="C28" s="147">
        <v>0</v>
      </c>
      <c r="G28" s="147"/>
      <c r="H28" s="147"/>
      <c r="I28" s="147"/>
      <c r="J28" s="147"/>
      <c r="K28" s="147"/>
      <c r="L28" s="147"/>
    </row>
    <row r="29" spans="1:15" x14ac:dyDescent="0.2">
      <c r="A29" s="151" t="s">
        <v>221</v>
      </c>
      <c r="B29" s="147">
        <v>0</v>
      </c>
      <c r="C29" s="147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52" t="s">
        <v>112</v>
      </c>
      <c r="B30" s="147">
        <v>0</v>
      </c>
      <c r="C30" s="147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52" t="s">
        <v>218</v>
      </c>
      <c r="B31" s="147">
        <v>0</v>
      </c>
      <c r="C31" s="147">
        <v>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52" t="s">
        <v>167</v>
      </c>
      <c r="B32" s="147">
        <v>50</v>
      </c>
      <c r="C32" s="147">
        <v>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52" t="s">
        <v>374</v>
      </c>
      <c r="B33" s="147">
        <v>0</v>
      </c>
      <c r="C33" s="147">
        <v>0</v>
      </c>
      <c r="G33" s="147"/>
      <c r="H33" s="147"/>
      <c r="I33" s="147"/>
      <c r="J33" s="147"/>
      <c r="K33" s="147"/>
      <c r="L33" s="147"/>
    </row>
    <row r="34" spans="1:12" x14ac:dyDescent="0.2">
      <c r="A34" s="152" t="s">
        <v>392</v>
      </c>
      <c r="B34" s="147">
        <v>0</v>
      </c>
      <c r="C34" s="147">
        <v>0</v>
      </c>
      <c r="G34" s="147"/>
      <c r="H34" s="147"/>
      <c r="I34" s="147"/>
      <c r="J34" s="147"/>
      <c r="K34" s="147"/>
      <c r="L34" s="147"/>
    </row>
    <row r="35" spans="1:12" x14ac:dyDescent="0.2">
      <c r="A35" s="152" t="s">
        <v>428</v>
      </c>
      <c r="B35" s="147">
        <f>200/3</f>
        <v>66.666666666666671</v>
      </c>
      <c r="C35" s="147">
        <v>0</v>
      </c>
      <c r="G35" s="147"/>
      <c r="H35" s="147"/>
      <c r="I35" s="147"/>
      <c r="J35" s="147"/>
      <c r="K35" s="147"/>
      <c r="L35" s="147"/>
    </row>
    <row r="36" spans="1:12" x14ac:dyDescent="0.2">
      <c r="A36" s="152" t="s">
        <v>429</v>
      </c>
      <c r="B36" s="147">
        <f>(12+2.5+8)*4</f>
        <v>90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2" t="s">
        <v>591</v>
      </c>
      <c r="B37" s="147">
        <v>80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2" t="s">
        <v>632</v>
      </c>
      <c r="B38" s="147">
        <v>0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52" t="s">
        <v>619</v>
      </c>
      <c r="B39" s="147">
        <v>0</v>
      </c>
      <c r="C39" s="147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46" t="s">
        <v>395</v>
      </c>
      <c r="B40" s="146">
        <v>40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0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2406.6133333333332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2406.6133333333332</v>
      </c>
      <c r="C44" s="160"/>
      <c r="G44" s="146">
        <f>SUM(G42:G43)</f>
        <v>20000</v>
      </c>
    </row>
    <row r="45" spans="1:12" x14ac:dyDescent="0.2">
      <c r="A45" s="156"/>
      <c r="B45" s="157">
        <f>B44</f>
        <v>2406.6133333333332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0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31"/>
  <sheetViews>
    <sheetView topLeftCell="A4" workbookViewId="0">
      <selection activeCell="J21" sqref="J21"/>
    </sheetView>
  </sheetViews>
  <sheetFormatPr baseColWidth="10" defaultRowHeight="15" x14ac:dyDescent="0.25"/>
  <cols>
    <col min="9" max="9" width="15" bestFit="1" customWidth="1"/>
  </cols>
  <sheetData>
    <row r="2" spans="1:10" x14ac:dyDescent="0.25">
      <c r="A2" s="2" t="s">
        <v>519</v>
      </c>
      <c r="H2" t="s">
        <v>521</v>
      </c>
      <c r="I2" t="s">
        <v>522</v>
      </c>
      <c r="J2" t="s">
        <v>525</v>
      </c>
    </row>
    <row r="4" spans="1:10" x14ac:dyDescent="0.25">
      <c r="A4" t="s">
        <v>520</v>
      </c>
      <c r="F4">
        <v>100</v>
      </c>
      <c r="H4">
        <v>100</v>
      </c>
      <c r="I4">
        <v>0</v>
      </c>
    </row>
    <row r="5" spans="1:10" x14ac:dyDescent="0.25">
      <c r="A5" t="s">
        <v>526</v>
      </c>
      <c r="B5">
        <f>7*2.6</f>
        <v>18.2</v>
      </c>
    </row>
    <row r="6" spans="1:10" x14ac:dyDescent="0.25">
      <c r="A6" t="s">
        <v>523</v>
      </c>
      <c r="B6">
        <f>7*2.8</f>
        <v>19.599999999999998</v>
      </c>
    </row>
    <row r="7" spans="1:10" x14ac:dyDescent="0.25">
      <c r="A7" t="s">
        <v>524</v>
      </c>
      <c r="B7">
        <v>9</v>
      </c>
    </row>
    <row r="8" spans="1:10" x14ac:dyDescent="0.25">
      <c r="A8" t="s">
        <v>528</v>
      </c>
      <c r="B8">
        <f>4*1.3</f>
        <v>5.2</v>
      </c>
    </row>
    <row r="9" spans="1:10" x14ac:dyDescent="0.25">
      <c r="A9" t="s">
        <v>475</v>
      </c>
      <c r="B9">
        <f>9*0.45</f>
        <v>4.05</v>
      </c>
    </row>
    <row r="10" spans="1:10" x14ac:dyDescent="0.25">
      <c r="A10" t="s">
        <v>529</v>
      </c>
      <c r="B10">
        <v>5</v>
      </c>
    </row>
    <row r="11" spans="1:10" x14ac:dyDescent="0.25">
      <c r="A11" t="s">
        <v>530</v>
      </c>
      <c r="B11">
        <v>2.5</v>
      </c>
    </row>
    <row r="12" spans="1:10" x14ac:dyDescent="0.25">
      <c r="A12" t="s">
        <v>531</v>
      </c>
      <c r="B12">
        <v>1.4</v>
      </c>
    </row>
    <row r="13" spans="1:10" x14ac:dyDescent="0.25">
      <c r="A13" t="s">
        <v>533</v>
      </c>
      <c r="B13">
        <v>15</v>
      </c>
    </row>
    <row r="14" spans="1:10" x14ac:dyDescent="0.25">
      <c r="H14">
        <f>B15/2</f>
        <v>39.975000000000001</v>
      </c>
      <c r="J14">
        <f>H14+H19+H20</f>
        <v>78.974999999999994</v>
      </c>
    </row>
    <row r="15" spans="1:10" x14ac:dyDescent="0.25">
      <c r="A15" s="5" t="s">
        <v>20</v>
      </c>
      <c r="B15" s="5">
        <f>SUM(B5:B14)</f>
        <v>79.95</v>
      </c>
      <c r="H15">
        <f>B22</f>
        <v>40.200000000000003</v>
      </c>
      <c r="J15">
        <v>40.200000000000003</v>
      </c>
    </row>
    <row r="16" spans="1:10" x14ac:dyDescent="0.25">
      <c r="H16">
        <f>B31</f>
        <v>19.75</v>
      </c>
      <c r="J16">
        <v>19.75</v>
      </c>
    </row>
    <row r="17" spans="1:10" x14ac:dyDescent="0.25">
      <c r="A17" s="2" t="s">
        <v>527</v>
      </c>
      <c r="H17">
        <f>SUM(H14:H16)</f>
        <v>99.925000000000011</v>
      </c>
      <c r="J17">
        <f>J14+J15+J16</f>
        <v>138.92500000000001</v>
      </c>
    </row>
    <row r="18" spans="1:10" x14ac:dyDescent="0.25">
      <c r="A18" t="s">
        <v>526</v>
      </c>
      <c r="B18">
        <f>6*2.6</f>
        <v>15.600000000000001</v>
      </c>
    </row>
    <row r="19" spans="1:10" x14ac:dyDescent="0.25">
      <c r="A19" t="s">
        <v>523</v>
      </c>
      <c r="B19">
        <f>6*2.8</f>
        <v>16.799999999999997</v>
      </c>
      <c r="H19">
        <v>22</v>
      </c>
    </row>
    <row r="20" spans="1:10" x14ac:dyDescent="0.25">
      <c r="A20" t="s">
        <v>528</v>
      </c>
      <c r="B20">
        <f>6*1.3</f>
        <v>7.8000000000000007</v>
      </c>
      <c r="H20">
        <v>17</v>
      </c>
    </row>
    <row r="21" spans="1:10" x14ac:dyDescent="0.25">
      <c r="E21" t="s">
        <v>525</v>
      </c>
      <c r="F21">
        <f>2.6*1+2.8*2+2*1.3+0.45*3+5</f>
        <v>17.149999999999999</v>
      </c>
      <c r="J21">
        <f>195.3-J17-18</f>
        <v>38.375</v>
      </c>
    </row>
    <row r="22" spans="1:10" x14ac:dyDescent="0.25">
      <c r="A22" s="5" t="s">
        <v>246</v>
      </c>
      <c r="B22" s="5">
        <f>SUM(B18:B21)</f>
        <v>40.200000000000003</v>
      </c>
      <c r="H22">
        <f>SUM(H17:H20)</f>
        <v>138.92500000000001</v>
      </c>
    </row>
    <row r="23" spans="1:10" x14ac:dyDescent="0.25">
      <c r="H23">
        <f>H22-186.3</f>
        <v>-47.375</v>
      </c>
    </row>
    <row r="24" spans="1:10" x14ac:dyDescent="0.25">
      <c r="A24" s="2" t="s">
        <v>525</v>
      </c>
    </row>
    <row r="25" spans="1:10" x14ac:dyDescent="0.25">
      <c r="A25" t="s">
        <v>526</v>
      </c>
      <c r="B25">
        <f>2*2.6</f>
        <v>5.2</v>
      </c>
      <c r="E25">
        <f>B5+B18+B25</f>
        <v>39</v>
      </c>
    </row>
    <row r="26" spans="1:10" x14ac:dyDescent="0.25">
      <c r="A26" t="s">
        <v>523</v>
      </c>
      <c r="B26">
        <f>2*2.8</f>
        <v>5.6</v>
      </c>
      <c r="E26">
        <f>B6+B19+B26</f>
        <v>41.999999999999993</v>
      </c>
    </row>
    <row r="27" spans="1:10" x14ac:dyDescent="0.25">
      <c r="A27" t="s">
        <v>528</v>
      </c>
      <c r="B27">
        <f>2*1.3</f>
        <v>2.6</v>
      </c>
      <c r="E27">
        <f>B8+B20+B27</f>
        <v>15.6</v>
      </c>
    </row>
    <row r="28" spans="1:10" x14ac:dyDescent="0.25">
      <c r="A28" t="s">
        <v>261</v>
      </c>
      <c r="B28">
        <f>3*0.45</f>
        <v>1.35</v>
      </c>
      <c r="E28">
        <f>B9+B28</f>
        <v>5.4</v>
      </c>
    </row>
    <row r="29" spans="1:10" x14ac:dyDescent="0.25">
      <c r="A29" t="s">
        <v>532</v>
      </c>
      <c r="B29">
        <v>5</v>
      </c>
    </row>
    <row r="31" spans="1:10" x14ac:dyDescent="0.25">
      <c r="A31" s="3" t="s">
        <v>246</v>
      </c>
      <c r="B31" s="3">
        <f>SUM(B25:B30)</f>
        <v>19.75</v>
      </c>
    </row>
  </sheetData>
  <pageMargins left="0.7" right="0.7" top="0.75" bottom="0.75" header="0.3" footer="0.3"/>
  <pageSetup orientation="portrait" r:id="rId1"/>
</worksheet>
</file>

<file path=xl/worksheets/sheet8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20"/>
  <sheetViews>
    <sheetView workbookViewId="0">
      <selection activeCell="G20" sqref="G20"/>
    </sheetView>
  </sheetViews>
  <sheetFormatPr baseColWidth="10" defaultRowHeight="15" x14ac:dyDescent="0.25"/>
  <cols>
    <col min="2" max="2" width="31.28515625" customWidth="1"/>
    <col min="5" max="5" width="20.42578125" customWidth="1"/>
  </cols>
  <sheetData>
    <row r="1" spans="1:5" ht="18.75" x14ac:dyDescent="0.3">
      <c r="A1" s="176" t="s">
        <v>503</v>
      </c>
    </row>
    <row r="3" spans="1:5" x14ac:dyDescent="0.25">
      <c r="A3" s="174" t="s">
        <v>276</v>
      </c>
      <c r="B3" s="174" t="s">
        <v>508</v>
      </c>
      <c r="C3" s="174" t="s">
        <v>277</v>
      </c>
      <c r="D3" s="174"/>
      <c r="E3" s="174" t="s">
        <v>507</v>
      </c>
    </row>
    <row r="4" spans="1:5" x14ac:dyDescent="0.25">
      <c r="A4" s="142">
        <v>42265</v>
      </c>
      <c r="B4" s="140" t="s">
        <v>504</v>
      </c>
      <c r="C4" s="140">
        <v>260</v>
      </c>
      <c r="D4" s="140"/>
      <c r="E4" s="140"/>
    </row>
    <row r="5" spans="1:5" x14ac:dyDescent="0.25">
      <c r="A5" s="142">
        <v>42266</v>
      </c>
      <c r="B5" s="140" t="s">
        <v>505</v>
      </c>
      <c r="C5" s="175">
        <v>8</v>
      </c>
      <c r="D5" s="140"/>
      <c r="E5" s="140"/>
    </row>
    <row r="6" spans="1:5" x14ac:dyDescent="0.25">
      <c r="A6" s="142">
        <v>42267</v>
      </c>
      <c r="B6" s="175" t="s">
        <v>506</v>
      </c>
      <c r="C6" s="140">
        <v>12</v>
      </c>
      <c r="D6" s="140"/>
      <c r="E6" s="140"/>
    </row>
    <row r="7" spans="1:5" x14ac:dyDescent="0.25">
      <c r="A7" s="140"/>
      <c r="B7" s="140"/>
      <c r="C7" s="140"/>
      <c r="D7" s="140"/>
      <c r="E7" s="140"/>
    </row>
    <row r="8" spans="1:5" x14ac:dyDescent="0.25">
      <c r="A8" s="140"/>
      <c r="B8" s="140"/>
      <c r="C8" s="140"/>
      <c r="D8" s="140"/>
      <c r="E8" s="140"/>
    </row>
    <row r="9" spans="1:5" x14ac:dyDescent="0.25">
      <c r="A9" s="140"/>
      <c r="B9" s="140"/>
      <c r="C9" s="140"/>
      <c r="D9" s="140"/>
      <c r="E9" s="140"/>
    </row>
    <row r="10" spans="1:5" x14ac:dyDescent="0.25">
      <c r="A10" s="140"/>
      <c r="B10" s="140"/>
      <c r="C10" s="140"/>
      <c r="D10" s="140"/>
      <c r="E10" s="140"/>
    </row>
    <row r="11" spans="1:5" x14ac:dyDescent="0.25">
      <c r="A11" s="140"/>
      <c r="B11" s="140"/>
      <c r="C11" s="140"/>
      <c r="D11" s="140"/>
      <c r="E11" s="140"/>
    </row>
    <row r="12" spans="1:5" x14ac:dyDescent="0.25">
      <c r="A12" s="140"/>
      <c r="B12" s="140"/>
      <c r="C12" s="140"/>
      <c r="D12" s="140"/>
      <c r="E12" s="140"/>
    </row>
    <row r="13" spans="1:5" x14ac:dyDescent="0.25">
      <c r="A13" s="140"/>
      <c r="B13" s="140"/>
      <c r="C13" s="140"/>
      <c r="D13" s="140"/>
      <c r="E13" s="140"/>
    </row>
    <row r="14" spans="1:5" x14ac:dyDescent="0.25">
      <c r="A14" s="140"/>
      <c r="B14" s="140"/>
      <c r="C14" s="140"/>
      <c r="D14" s="140"/>
      <c r="E14" s="140"/>
    </row>
    <row r="15" spans="1:5" x14ac:dyDescent="0.25">
      <c r="A15" s="140"/>
      <c r="B15" s="140"/>
      <c r="C15" s="140"/>
      <c r="D15" s="140"/>
      <c r="E15" s="140"/>
    </row>
    <row r="16" spans="1:5" x14ac:dyDescent="0.25">
      <c r="A16" s="140"/>
      <c r="B16" s="140"/>
      <c r="C16" s="140"/>
      <c r="D16" s="140"/>
      <c r="E16" s="140"/>
    </row>
    <row r="17" spans="1:5" x14ac:dyDescent="0.25">
      <c r="A17" s="140"/>
      <c r="B17" s="140"/>
      <c r="C17" s="140"/>
      <c r="D17" s="140"/>
      <c r="E17" s="140"/>
    </row>
    <row r="18" spans="1:5" x14ac:dyDescent="0.25">
      <c r="A18" s="177"/>
      <c r="B18" s="178" t="s">
        <v>233</v>
      </c>
      <c r="C18" s="178">
        <f>SUM(C4:C17)</f>
        <v>280</v>
      </c>
      <c r="D18" s="179"/>
      <c r="E18" s="180"/>
    </row>
    <row r="20" spans="1:5" x14ac:dyDescent="0.25">
      <c r="A20" s="2" t="s">
        <v>517</v>
      </c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aquete" dvAspect="DVASPECT_ICON" shapeId="1025" r:id="rId4">
          <objectPr defaultSize="0" autoPict="0" r:id="rId5">
            <anchor moveWithCells="1">
              <from>
                <xdr:col>4</xdr:col>
                <xdr:colOff>238125</xdr:colOff>
                <xdr:row>3</xdr:row>
                <xdr:rowOff>9525</xdr:rowOff>
              </from>
              <to>
                <xdr:col>4</xdr:col>
                <xdr:colOff>457200</xdr:colOff>
                <xdr:row>3</xdr:row>
                <xdr:rowOff>180975</xdr:rowOff>
              </to>
            </anchor>
          </objectPr>
        </oleObject>
      </mc:Choice>
      <mc:Fallback>
        <oleObject progId="Paquete" dvAspect="DVASPECT_ICON" shapeId="1025" r:id="rId4"/>
      </mc:Fallback>
    </mc:AlternateContent>
    <mc:AlternateContent xmlns:mc="http://schemas.openxmlformats.org/markup-compatibility/2006">
      <mc:Choice Requires="x14">
        <oleObject progId="Paquete" dvAspect="DVASPECT_ICON" shapeId="1026" r:id="rId6">
          <objectPr defaultSize="0" autoPict="0" r:id="rId7">
            <anchor moveWithCells="1">
              <from>
                <xdr:col>4</xdr:col>
                <xdr:colOff>247650</xdr:colOff>
                <xdr:row>4</xdr:row>
                <xdr:rowOff>9525</xdr:rowOff>
              </from>
              <to>
                <xdr:col>4</xdr:col>
                <xdr:colOff>466725</xdr:colOff>
                <xdr:row>4</xdr:row>
                <xdr:rowOff>180975</xdr:rowOff>
              </to>
            </anchor>
          </objectPr>
        </oleObject>
      </mc:Choice>
      <mc:Fallback>
        <oleObject progId="Paquete" dvAspect="DVASPECT_ICON" shapeId="1026" r:id="rId6"/>
      </mc:Fallback>
    </mc:AlternateContent>
    <mc:AlternateContent xmlns:mc="http://schemas.openxmlformats.org/markup-compatibility/2006">
      <mc:Choice Requires="x14">
        <oleObject progId="Paquete" dvAspect="DVASPECT_ICON" shapeId="1027" r:id="rId8">
          <objectPr defaultSize="0" autoPict="0" r:id="rId7">
            <anchor moveWithCells="1">
              <from>
                <xdr:col>4</xdr:col>
                <xdr:colOff>247650</xdr:colOff>
                <xdr:row>5</xdr:row>
                <xdr:rowOff>9525</xdr:rowOff>
              </from>
              <to>
                <xdr:col>4</xdr:col>
                <xdr:colOff>466725</xdr:colOff>
                <xdr:row>5</xdr:row>
                <xdr:rowOff>180975</xdr:rowOff>
              </to>
            </anchor>
          </objectPr>
        </oleObject>
      </mc:Choice>
      <mc:Fallback>
        <oleObject progId="Paquete" dvAspect="DVASPECT_ICON" shapeId="1027" r:id="rId8"/>
      </mc:Fallback>
    </mc:AlternateContent>
  </oleObjects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6"/>
  <sheetViews>
    <sheetView workbookViewId="0"/>
  </sheetViews>
  <sheetFormatPr baseColWidth="10" defaultRowHeight="15" x14ac:dyDescent="0.25"/>
  <cols>
    <col min="1" max="1" width="23.28515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</cols>
  <sheetData>
    <row r="1" spans="1:9" x14ac:dyDescent="0.25">
      <c r="A1" t="s">
        <v>488</v>
      </c>
    </row>
    <row r="3" spans="1:9" x14ac:dyDescent="0.25">
      <c r="C3" t="s">
        <v>444</v>
      </c>
      <c r="D3" t="s">
        <v>458</v>
      </c>
      <c r="E3" t="s">
        <v>459</v>
      </c>
      <c r="F3" t="s">
        <v>490</v>
      </c>
    </row>
    <row r="4" spans="1:9" x14ac:dyDescent="0.25">
      <c r="A4" t="s">
        <v>445</v>
      </c>
      <c r="B4" s="143">
        <v>262.39999999999998</v>
      </c>
      <c r="C4" s="143"/>
      <c r="F4">
        <f>B4</f>
        <v>262.39999999999998</v>
      </c>
    </row>
    <row r="5" spans="1:9" x14ac:dyDescent="0.25">
      <c r="A5" s="65" t="s">
        <v>447</v>
      </c>
      <c r="B5" s="172">
        <v>200</v>
      </c>
      <c r="C5" s="172"/>
      <c r="D5" s="65">
        <v>100</v>
      </c>
      <c r="E5" s="65"/>
      <c r="F5" s="65">
        <v>100</v>
      </c>
    </row>
    <row r="6" spans="1:9" x14ac:dyDescent="0.25">
      <c r="A6" t="s">
        <v>493</v>
      </c>
      <c r="B6" s="143">
        <v>60</v>
      </c>
      <c r="C6" s="143"/>
      <c r="F6">
        <f>60</f>
        <v>60</v>
      </c>
    </row>
    <row r="7" spans="1:9" x14ac:dyDescent="0.25">
      <c r="A7" s="65" t="s">
        <v>448</v>
      </c>
      <c r="B7" s="172">
        <f>51</f>
        <v>51</v>
      </c>
      <c r="C7" s="172"/>
      <c r="D7" s="65"/>
      <c r="E7" s="65"/>
      <c r="F7" s="65"/>
    </row>
    <row r="8" spans="1:9" x14ac:dyDescent="0.25">
      <c r="A8" t="s">
        <v>489</v>
      </c>
      <c r="B8" s="143">
        <v>260</v>
      </c>
      <c r="C8" s="143">
        <f>160</f>
        <v>160</v>
      </c>
      <c r="D8">
        <v>50</v>
      </c>
      <c r="E8">
        <v>50</v>
      </c>
    </row>
    <row r="9" spans="1:9" x14ac:dyDescent="0.25">
      <c r="A9" s="65" t="s">
        <v>491</v>
      </c>
      <c r="B9" s="172">
        <v>170</v>
      </c>
      <c r="C9" s="172"/>
      <c r="D9" s="65"/>
      <c r="E9" s="65"/>
      <c r="F9" s="65">
        <v>140</v>
      </c>
      <c r="I9" s="12"/>
    </row>
    <row r="10" spans="1:9" ht="14.25" customHeight="1" x14ac:dyDescent="0.25">
      <c r="A10" s="2" t="s">
        <v>452</v>
      </c>
      <c r="B10" s="143"/>
      <c r="C10" s="143"/>
    </row>
    <row r="11" spans="1:9" x14ac:dyDescent="0.25">
      <c r="A11" s="65" t="s">
        <v>492</v>
      </c>
      <c r="B11" s="172">
        <v>34</v>
      </c>
      <c r="C11" s="172"/>
      <c r="D11" s="65"/>
      <c r="E11" s="65"/>
      <c r="F11" s="65">
        <f>B11</f>
        <v>34</v>
      </c>
    </row>
    <row r="12" spans="1:9" x14ac:dyDescent="0.25">
      <c r="A12" t="s">
        <v>456</v>
      </c>
      <c r="B12" s="143">
        <v>22.8</v>
      </c>
      <c r="C12" s="143"/>
      <c r="F12">
        <f>B12</f>
        <v>22.8</v>
      </c>
    </row>
    <row r="13" spans="1:9" x14ac:dyDescent="0.25">
      <c r="A13" t="s">
        <v>495</v>
      </c>
      <c r="B13" s="143">
        <v>4</v>
      </c>
      <c r="C13" s="143">
        <f>B13</f>
        <v>4</v>
      </c>
    </row>
    <row r="14" spans="1:9" x14ac:dyDescent="0.25">
      <c r="A14" t="s">
        <v>500</v>
      </c>
      <c r="B14" s="143">
        <v>6.5</v>
      </c>
      <c r="C14" s="143">
        <f t="shared" ref="C14:C21" si="0">B14</f>
        <v>6.5</v>
      </c>
    </row>
    <row r="15" spans="1:9" x14ac:dyDescent="0.25">
      <c r="A15" t="s">
        <v>501</v>
      </c>
      <c r="B15" s="143">
        <v>2.7</v>
      </c>
      <c r="C15" s="143">
        <f t="shared" si="0"/>
        <v>2.7</v>
      </c>
    </row>
    <row r="16" spans="1:9" x14ac:dyDescent="0.25">
      <c r="A16" t="s">
        <v>499</v>
      </c>
      <c r="B16" s="143">
        <v>5</v>
      </c>
      <c r="C16" s="143">
        <f t="shared" si="0"/>
        <v>5</v>
      </c>
    </row>
    <row r="17" spans="1:7" x14ac:dyDescent="0.25">
      <c r="A17" t="s">
        <v>496</v>
      </c>
      <c r="B17" s="143">
        <v>1.7</v>
      </c>
      <c r="C17" s="143">
        <f t="shared" si="0"/>
        <v>1.7</v>
      </c>
    </row>
    <row r="18" spans="1:7" x14ac:dyDescent="0.25">
      <c r="A18" t="s">
        <v>498</v>
      </c>
      <c r="B18" s="143">
        <v>1.2</v>
      </c>
      <c r="C18" s="143">
        <f t="shared" si="0"/>
        <v>1.2</v>
      </c>
    </row>
    <row r="19" spans="1:7" x14ac:dyDescent="0.25">
      <c r="A19" t="s">
        <v>496</v>
      </c>
      <c r="B19" s="143">
        <v>2.4</v>
      </c>
      <c r="C19" s="143">
        <f t="shared" si="0"/>
        <v>2.4</v>
      </c>
    </row>
    <row r="20" spans="1:7" x14ac:dyDescent="0.25">
      <c r="A20" t="s">
        <v>492</v>
      </c>
      <c r="B20" s="143">
        <v>30</v>
      </c>
      <c r="C20" s="143">
        <f t="shared" si="0"/>
        <v>30</v>
      </c>
    </row>
    <row r="21" spans="1:7" x14ac:dyDescent="0.25">
      <c r="A21" t="s">
        <v>497</v>
      </c>
      <c r="B21" s="143">
        <f>2.8+2</f>
        <v>4.8</v>
      </c>
      <c r="C21" s="143">
        <f t="shared" si="0"/>
        <v>4.8</v>
      </c>
    </row>
    <row r="22" spans="1:7" x14ac:dyDescent="0.25">
      <c r="A22" s="19" t="s">
        <v>233</v>
      </c>
      <c r="B22" s="144">
        <f>SUM(B4:B21)</f>
        <v>1118.5000000000002</v>
      </c>
      <c r="C22" s="144">
        <f>SUM(C4:C21)</f>
        <v>218.29999999999998</v>
      </c>
      <c r="D22" s="144">
        <f>SUM(D4:D12)</f>
        <v>150</v>
      </c>
      <c r="E22" s="144">
        <f>SUM(E4:E12)</f>
        <v>50</v>
      </c>
      <c r="F22" s="144">
        <f>SUM(F4:F12)</f>
        <v>619.19999999999993</v>
      </c>
      <c r="G22" s="2"/>
    </row>
    <row r="23" spans="1:7" x14ac:dyDescent="0.25">
      <c r="A23" s="19" t="s">
        <v>502</v>
      </c>
      <c r="B23" s="144"/>
      <c r="C23" s="144"/>
      <c r="D23" s="144"/>
      <c r="E23" s="144">
        <v>200</v>
      </c>
      <c r="F23" s="144"/>
      <c r="G23" s="2"/>
    </row>
    <row r="24" spans="1:7" x14ac:dyDescent="0.25">
      <c r="A24" s="19" t="s">
        <v>494</v>
      </c>
      <c r="B24" s="144"/>
      <c r="C24" s="173">
        <f t="shared" ref="C24:D24" si="1">$B$26-C22-C23</f>
        <v>61.325000000000074</v>
      </c>
      <c r="D24" s="173">
        <f t="shared" si="1"/>
        <v>129.62500000000006</v>
      </c>
      <c r="E24" s="173">
        <f>$B$26-E22-E23</f>
        <v>29.625000000000057</v>
      </c>
      <c r="F24" s="144">
        <f t="shared" ref="F24" si="2">$B$26-F22</f>
        <v>-339.57499999999987</v>
      </c>
      <c r="G24" s="2"/>
    </row>
    <row r="26" spans="1:7" x14ac:dyDescent="0.25">
      <c r="A26" t="s">
        <v>460</v>
      </c>
      <c r="B26" s="3">
        <f>B22/4</f>
        <v>279.62500000000006</v>
      </c>
    </row>
  </sheetData>
  <pageMargins left="0.7" right="0.7" top="0.75" bottom="0.75" header="0.3" footer="0.3"/>
  <pageSetup orientation="portrait"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E25" sqref="E25"/>
    </sheetView>
  </sheetViews>
  <sheetFormatPr baseColWidth="10" defaultRowHeight="15" x14ac:dyDescent="0.25"/>
  <cols>
    <col min="1" max="1" width="22.140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  <col min="7" max="7" width="14.7109375" bestFit="1" customWidth="1"/>
  </cols>
  <sheetData>
    <row r="1" spans="1:10" x14ac:dyDescent="0.25">
      <c r="A1" t="s">
        <v>442</v>
      </c>
    </row>
    <row r="2" spans="1:10" x14ac:dyDescent="0.25">
      <c r="A2" t="s">
        <v>443</v>
      </c>
    </row>
    <row r="3" spans="1:10" x14ac:dyDescent="0.25">
      <c r="C3" t="s">
        <v>444</v>
      </c>
      <c r="D3" t="s">
        <v>458</v>
      </c>
      <c r="E3" t="s">
        <v>459</v>
      </c>
      <c r="F3" t="s">
        <v>463</v>
      </c>
      <c r="G3" s="3" t="s">
        <v>464</v>
      </c>
    </row>
    <row r="4" spans="1:10" x14ac:dyDescent="0.25">
      <c r="A4" t="s">
        <v>445</v>
      </c>
      <c r="B4" s="143">
        <v>400</v>
      </c>
      <c r="C4" s="143"/>
      <c r="D4">
        <f>373-D15</f>
        <v>333.5</v>
      </c>
      <c r="G4">
        <f>SUM(C4:F4)</f>
        <v>333.5</v>
      </c>
    </row>
    <row r="5" spans="1:10" x14ac:dyDescent="0.25">
      <c r="A5" t="s">
        <v>446</v>
      </c>
      <c r="B5" s="143">
        <v>700</v>
      </c>
      <c r="C5" s="143">
        <v>200</v>
      </c>
      <c r="D5">
        <v>200</v>
      </c>
      <c r="E5">
        <v>300</v>
      </c>
      <c r="G5">
        <f t="shared" ref="G5:G17" si="0">SUM(C5:F5)</f>
        <v>700</v>
      </c>
      <c r="J5">
        <f>B19-D17</f>
        <v>45.333333333333371</v>
      </c>
    </row>
    <row r="6" spans="1:10" x14ac:dyDescent="0.25">
      <c r="A6" t="s">
        <v>447</v>
      </c>
      <c r="B6" s="143">
        <v>250</v>
      </c>
      <c r="C6" s="143">
        <v>50</v>
      </c>
      <c r="F6">
        <v>200</v>
      </c>
      <c r="G6">
        <f t="shared" si="0"/>
        <v>250</v>
      </c>
      <c r="J6">
        <f>B19-C17</f>
        <v>90.333333333333371</v>
      </c>
    </row>
    <row r="7" spans="1:10" x14ac:dyDescent="0.25">
      <c r="A7" t="s">
        <v>448</v>
      </c>
      <c r="B7" s="143">
        <v>200</v>
      </c>
      <c r="C7" s="143"/>
      <c r="D7">
        <v>0</v>
      </c>
      <c r="G7">
        <f t="shared" si="0"/>
        <v>0</v>
      </c>
      <c r="J7">
        <f>B21</f>
        <v>358.33333333333337</v>
      </c>
    </row>
    <row r="8" spans="1:10" x14ac:dyDescent="0.25">
      <c r="A8" t="s">
        <v>449</v>
      </c>
      <c r="B8" s="143">
        <v>50</v>
      </c>
      <c r="C8" s="143"/>
      <c r="G8">
        <f t="shared" si="0"/>
        <v>0</v>
      </c>
    </row>
    <row r="9" spans="1:10" x14ac:dyDescent="0.25">
      <c r="A9" t="s">
        <v>450</v>
      </c>
      <c r="B9" s="143">
        <v>60</v>
      </c>
      <c r="C9" s="143"/>
      <c r="D9">
        <v>40</v>
      </c>
      <c r="F9">
        <v>40</v>
      </c>
      <c r="G9">
        <f t="shared" si="0"/>
        <v>80</v>
      </c>
    </row>
    <row r="10" spans="1:10" x14ac:dyDescent="0.25">
      <c r="A10" t="s">
        <v>451</v>
      </c>
      <c r="B10" s="143">
        <v>90</v>
      </c>
      <c r="C10" s="143">
        <v>45</v>
      </c>
      <c r="G10">
        <f t="shared" si="0"/>
        <v>45</v>
      </c>
      <c r="J10" s="12">
        <f>SUM(J5:J9)</f>
        <v>494.00000000000011</v>
      </c>
    </row>
    <row r="11" spans="1:10" x14ac:dyDescent="0.25">
      <c r="A11" s="2" t="s">
        <v>452</v>
      </c>
      <c r="B11" s="143"/>
      <c r="C11" s="143">
        <v>78</v>
      </c>
      <c r="G11">
        <f t="shared" si="0"/>
        <v>78</v>
      </c>
    </row>
    <row r="12" spans="1:10" x14ac:dyDescent="0.25">
      <c r="A12" t="s">
        <v>453</v>
      </c>
      <c r="B12" s="143">
        <v>25</v>
      </c>
      <c r="C12" s="143">
        <v>25</v>
      </c>
      <c r="G12">
        <f t="shared" si="0"/>
        <v>25</v>
      </c>
    </row>
    <row r="13" spans="1:10" x14ac:dyDescent="0.25">
      <c r="A13" t="s">
        <v>454</v>
      </c>
      <c r="B13" s="143">
        <v>40</v>
      </c>
      <c r="C13" s="143">
        <v>40</v>
      </c>
      <c r="G13">
        <f t="shared" si="0"/>
        <v>40</v>
      </c>
    </row>
    <row r="14" spans="1:10" x14ac:dyDescent="0.25">
      <c r="A14" t="s">
        <v>455</v>
      </c>
      <c r="B14" s="143">
        <v>30</v>
      </c>
      <c r="C14" s="143">
        <v>30</v>
      </c>
      <c r="G14">
        <f t="shared" si="0"/>
        <v>30</v>
      </c>
    </row>
    <row r="15" spans="1:10" x14ac:dyDescent="0.25">
      <c r="A15" t="s">
        <v>456</v>
      </c>
      <c r="B15" s="143">
        <v>30</v>
      </c>
      <c r="C15" s="143"/>
      <c r="D15">
        <v>39.5</v>
      </c>
      <c r="G15">
        <f t="shared" si="0"/>
        <v>39.5</v>
      </c>
    </row>
    <row r="16" spans="1:10" x14ac:dyDescent="0.25">
      <c r="A16" s="2" t="s">
        <v>457</v>
      </c>
      <c r="B16" s="143">
        <v>100</v>
      </c>
      <c r="C16" s="143">
        <v>100</v>
      </c>
      <c r="G16">
        <f t="shared" si="0"/>
        <v>100</v>
      </c>
    </row>
    <row r="17" spans="1:8" x14ac:dyDescent="0.25">
      <c r="A17" s="19" t="s">
        <v>233</v>
      </c>
      <c r="B17" s="144">
        <f>SUM(B4:B16)</f>
        <v>1975</v>
      </c>
      <c r="C17" s="144">
        <f t="shared" ref="C17:F17" si="1">SUM(C4:C16)</f>
        <v>568</v>
      </c>
      <c r="D17" s="144">
        <f t="shared" si="1"/>
        <v>613</v>
      </c>
      <c r="E17" s="144">
        <f t="shared" si="1"/>
        <v>300</v>
      </c>
      <c r="F17" s="144">
        <f t="shared" si="1"/>
        <v>240</v>
      </c>
      <c r="G17" s="144">
        <f t="shared" si="0"/>
        <v>1721</v>
      </c>
      <c r="H17" s="2"/>
    </row>
    <row r="19" spans="1:8" x14ac:dyDescent="0.25">
      <c r="A19" t="s">
        <v>460</v>
      </c>
      <c r="B19" s="3">
        <f>B17/3</f>
        <v>658.33333333333337</v>
      </c>
    </row>
    <row r="21" spans="1:8" x14ac:dyDescent="0.25">
      <c r="A21" t="s">
        <v>461</v>
      </c>
      <c r="B21">
        <f>B19-E17</f>
        <v>358.33333333333337</v>
      </c>
    </row>
    <row r="22" spans="1:8" x14ac:dyDescent="0.25">
      <c r="A22" t="s">
        <v>462</v>
      </c>
      <c r="B22" s="3">
        <f>B21/2</f>
        <v>179.16666666666669</v>
      </c>
    </row>
    <row r="24" spans="1:8" x14ac:dyDescent="0.25">
      <c r="A24" t="s">
        <v>465</v>
      </c>
      <c r="B24" s="4">
        <f>F17</f>
        <v>240</v>
      </c>
    </row>
    <row r="25" spans="1:8" x14ac:dyDescent="0.25">
      <c r="A25" t="s">
        <v>466</v>
      </c>
      <c r="B25">
        <f>B17-G17</f>
        <v>254</v>
      </c>
    </row>
    <row r="26" spans="1:8" x14ac:dyDescent="0.25">
      <c r="A26" s="12" t="s">
        <v>467</v>
      </c>
      <c r="B26" s="12">
        <f>SUM(B24:B25)</f>
        <v>494</v>
      </c>
    </row>
  </sheetData>
  <pageMargins left="0.7" right="0.7" top="0.75" bottom="0.75" header="0.3" footer="0.3"/>
  <pageSetup paperSize="9" orientation="portrait"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C14"/>
  <sheetViews>
    <sheetView workbookViewId="0">
      <selection activeCell="B35" sqref="B35"/>
    </sheetView>
  </sheetViews>
  <sheetFormatPr baseColWidth="10" defaultRowHeight="15" x14ac:dyDescent="0.25"/>
  <cols>
    <col min="1" max="1" width="14" customWidth="1"/>
  </cols>
  <sheetData>
    <row r="3" spans="1:3" x14ac:dyDescent="0.25">
      <c r="A3" s="2" t="s">
        <v>481</v>
      </c>
      <c r="B3" s="2"/>
      <c r="C3" s="2"/>
    </row>
    <row r="4" spans="1:3" x14ac:dyDescent="0.25">
      <c r="A4" t="s">
        <v>482</v>
      </c>
      <c r="B4">
        <v>320</v>
      </c>
      <c r="C4" t="s">
        <v>485</v>
      </c>
    </row>
    <row r="5" spans="1:3" x14ac:dyDescent="0.25">
      <c r="A5" t="s">
        <v>483</v>
      </c>
      <c r="B5">
        <v>320</v>
      </c>
      <c r="C5" t="s">
        <v>485</v>
      </c>
    </row>
    <row r="6" spans="1:3" x14ac:dyDescent="0.25">
      <c r="A6" t="s">
        <v>484</v>
      </c>
      <c r="B6">
        <v>320</v>
      </c>
      <c r="C6" t="s">
        <v>485</v>
      </c>
    </row>
    <row r="14" spans="1:3" x14ac:dyDescent="0.25">
      <c r="B14" s="171">
        <f>SUM(B4:B13)</f>
        <v>960</v>
      </c>
    </row>
  </sheetData>
  <pageMargins left="0.7" right="0.7" top="0.75" bottom="0.75" header="0.3" footer="0.3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9"/>
  <sheetViews>
    <sheetView workbookViewId="0">
      <selection activeCell="A2" sqref="A2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690</v>
      </c>
      <c r="B1" s="138"/>
    </row>
    <row r="2" spans="1:7" x14ac:dyDescent="0.2">
      <c r="A2" s="111" t="s">
        <v>686</v>
      </c>
      <c r="B2" s="111">
        <f>F3/3</f>
        <v>83.333333333333329</v>
      </c>
    </row>
    <row r="3" spans="1:7" x14ac:dyDescent="0.2">
      <c r="A3" s="111" t="s">
        <v>687</v>
      </c>
      <c r="B3" s="111">
        <v>18</v>
      </c>
      <c r="F3" s="136">
        <f>125*2</f>
        <v>250</v>
      </c>
    </row>
    <row r="4" spans="1:7" x14ac:dyDescent="0.2">
      <c r="A4" s="111" t="s">
        <v>688</v>
      </c>
      <c r="B4" s="111">
        <v>64.75</v>
      </c>
      <c r="F4" s="136">
        <v>126</v>
      </c>
      <c r="G4" s="136">
        <f>30*4+6</f>
        <v>126</v>
      </c>
    </row>
    <row r="5" spans="1:7" x14ac:dyDescent="0.2">
      <c r="A5" s="111" t="s">
        <v>689</v>
      </c>
      <c r="B5" s="111">
        <f>F4/3</f>
        <v>42</v>
      </c>
    </row>
    <row r="6" spans="1:7" x14ac:dyDescent="0.2">
      <c r="A6" s="83"/>
      <c r="B6" s="83"/>
    </row>
    <row r="7" spans="1:7" x14ac:dyDescent="0.2">
      <c r="A7" s="83"/>
      <c r="B7" s="83"/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  <c r="E11" s="136">
        <f>B4*2</f>
        <v>129.5</v>
      </c>
    </row>
    <row r="12" spans="1:7" x14ac:dyDescent="0.2">
      <c r="A12" s="111" t="s">
        <v>246</v>
      </c>
      <c r="B12" s="111">
        <f>SUM(B2:B11)</f>
        <v>208.08333333333331</v>
      </c>
      <c r="E12" s="136">
        <f>B5*3</f>
        <v>126</v>
      </c>
    </row>
    <row r="13" spans="1:7" x14ac:dyDescent="0.2">
      <c r="A13" s="67"/>
      <c r="B13" s="66"/>
    </row>
    <row r="14" spans="1:7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3"/>
  <sheetViews>
    <sheetView workbookViewId="0">
      <selection sqref="A1:XFD104857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111" t="s">
        <v>664</v>
      </c>
      <c r="B2" s="111">
        <f>F3/3</f>
        <v>80</v>
      </c>
    </row>
    <row r="3" spans="1:6" x14ac:dyDescent="0.2">
      <c r="A3" s="111" t="s">
        <v>665</v>
      </c>
      <c r="B3" s="111">
        <v>18</v>
      </c>
      <c r="F3" s="136">
        <f>120*2</f>
        <v>240</v>
      </c>
    </row>
    <row r="4" spans="1:6" x14ac:dyDescent="0.2">
      <c r="A4" s="111" t="s">
        <v>666</v>
      </c>
      <c r="B4" s="111">
        <v>64.75</v>
      </c>
      <c r="F4" s="136">
        <v>126</v>
      </c>
    </row>
    <row r="5" spans="1:6" x14ac:dyDescent="0.2">
      <c r="A5" s="111" t="s">
        <v>667</v>
      </c>
      <c r="B5" s="111">
        <f>F4/3</f>
        <v>42</v>
      </c>
    </row>
    <row r="6" spans="1:6" x14ac:dyDescent="0.2">
      <c r="A6" s="111" t="s">
        <v>668</v>
      </c>
      <c r="B6" s="111">
        <f>(95.63-11.4)/4</f>
        <v>21.057499999999997</v>
      </c>
      <c r="C6" s="136" t="s">
        <v>669</v>
      </c>
    </row>
    <row r="7" spans="1:6" x14ac:dyDescent="0.2">
      <c r="A7" s="111" t="s">
        <v>670</v>
      </c>
      <c r="B7" s="111">
        <f>2*15/4</f>
        <v>7.5</v>
      </c>
      <c r="C7" s="136" t="s">
        <v>669</v>
      </c>
    </row>
    <row r="8" spans="1:6" x14ac:dyDescent="0.2">
      <c r="A8" s="111" t="s">
        <v>671</v>
      </c>
      <c r="B8" s="111">
        <f>20/4</f>
        <v>5</v>
      </c>
      <c r="C8" s="136" t="s">
        <v>669</v>
      </c>
    </row>
    <row r="9" spans="1:6" x14ac:dyDescent="0.2">
      <c r="A9" s="111" t="s">
        <v>674</v>
      </c>
      <c r="B9" s="111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  <c r="D16" s="136">
        <f>B6+B7+B8</f>
        <v>33.557499999999997</v>
      </c>
    </row>
    <row r="17" spans="1:3" x14ac:dyDescent="0.2">
      <c r="A17" s="67"/>
      <c r="B17" s="66"/>
    </row>
    <row r="21" spans="1:3" x14ac:dyDescent="0.2">
      <c r="C21" s="136">
        <f>B4*2</f>
        <v>129.5</v>
      </c>
    </row>
    <row r="22" spans="1:3" x14ac:dyDescent="0.2">
      <c r="C22" s="136">
        <f>B5*3</f>
        <v>126</v>
      </c>
    </row>
    <row r="23" spans="1:3" x14ac:dyDescent="0.2">
      <c r="C23" s="136">
        <f>C21+C22</f>
        <v>255.5</v>
      </c>
    </row>
  </sheetData>
  <pageMargins left="0.7" right="0.7" top="0.75" bottom="0.75" header="0.3" footer="0.3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F4" sqref="F4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126</v>
      </c>
    </row>
    <row r="5" spans="1:6" x14ac:dyDescent="0.2">
      <c r="A5" s="83" t="s">
        <v>659</v>
      </c>
      <c r="B5" s="83">
        <f>F4/3</f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 t="s">
        <v>662</v>
      </c>
      <c r="B7" s="83">
        <v>20</v>
      </c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251.41666666666666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>
      <selection activeCell="C11" sqref="C11"/>
    </sheetView>
  </sheetViews>
  <sheetFormatPr baseColWidth="10" defaultColWidth="9.140625" defaultRowHeight="15" x14ac:dyDescent="0.25"/>
  <cols>
    <col min="1" max="1" width="25.4257812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f>400+291.49</f>
        <v>691.49</v>
      </c>
      <c r="C3" s="13" t="s">
        <v>23</v>
      </c>
      <c r="D3" s="13">
        <f>50+13+16+100+30+13+93+15+236+15+40+30</f>
        <v>651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0</v>
      </c>
      <c r="C4" s="16" t="s">
        <v>23</v>
      </c>
      <c r="D4" s="16">
        <v>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2.88*64.44+198</f>
        <v>383.5872</v>
      </c>
      <c r="C5" s="16"/>
      <c r="D5" s="16">
        <f>B5</f>
        <v>383.5872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>B10</f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>B11</f>
        <v>130.76</v>
      </c>
      <c r="E11" s="3" t="s">
        <v>23</v>
      </c>
    </row>
    <row r="12" spans="1:16" s="3" customFormat="1" x14ac:dyDescent="0.25">
      <c r="A12" s="16" t="s">
        <v>15</v>
      </c>
      <c r="B12" s="16">
        <v>60</v>
      </c>
      <c r="C12" s="16" t="s">
        <v>23</v>
      </c>
      <c r="D12" s="16">
        <f>20+20+20</f>
        <v>60</v>
      </c>
      <c r="E12" s="3" t="s">
        <v>23</v>
      </c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v>0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3" customFormat="1" x14ac:dyDescent="0.25">
      <c r="A17" s="16" t="s">
        <v>54</v>
      </c>
      <c r="B17" s="16">
        <v>0</v>
      </c>
      <c r="C17" s="16"/>
      <c r="D17" s="16">
        <v>0</v>
      </c>
      <c r="J17" s="5"/>
    </row>
    <row r="18" spans="1:16" s="3" customFormat="1" x14ac:dyDescent="0.25">
      <c r="A18" s="16" t="s">
        <v>55</v>
      </c>
      <c r="B18" s="16">
        <v>200</v>
      </c>
      <c r="C18" s="16"/>
      <c r="D18" s="16">
        <f>B18</f>
        <v>200</v>
      </c>
    </row>
    <row r="19" spans="1:16" s="4" customFormat="1" x14ac:dyDescent="0.25">
      <c r="D19" s="13">
        <v>0</v>
      </c>
      <c r="G19" s="4">
        <v>57.16</v>
      </c>
      <c r="H19" s="4">
        <f>D3-B3</f>
        <v>-40.490000000000009</v>
      </c>
      <c r="J19" s="7"/>
    </row>
    <row r="20" spans="1:16" s="4" customFormat="1" x14ac:dyDescent="0.25">
      <c r="A20" s="4" t="s">
        <v>31</v>
      </c>
      <c r="B20" s="4">
        <f>SUM(D3:D18)</f>
        <v>2784.717279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50.489999999999782</v>
      </c>
      <c r="C21" s="4">
        <f>B21</f>
        <v>50.489999999999782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4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2835.2072789999997</v>
      </c>
      <c r="C23" s="14"/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1034.7471821167881</v>
      </c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/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(1032+493.03)-B24</f>
        <v>490.28281788321192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6" sqref="A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635</v>
      </c>
      <c r="B2" s="83">
        <f>F3/3</f>
        <v>80</v>
      </c>
    </row>
    <row r="3" spans="1:6" x14ac:dyDescent="0.2">
      <c r="A3" s="83" t="s">
        <v>636</v>
      </c>
      <c r="B3" s="83">
        <v>18</v>
      </c>
      <c r="F3" s="136">
        <f>120*2</f>
        <v>240</v>
      </c>
    </row>
    <row r="4" spans="1:6" x14ac:dyDescent="0.2">
      <c r="A4" s="83" t="s">
        <v>637</v>
      </c>
      <c r="B4" s="83">
        <v>64.75</v>
      </c>
      <c r="F4" s="136">
        <v>96</v>
      </c>
    </row>
    <row r="5" spans="1:6" x14ac:dyDescent="0.2">
      <c r="A5" s="83" t="s">
        <v>638</v>
      </c>
      <c r="B5" s="83">
        <f>F4/3</f>
        <v>32</v>
      </c>
    </row>
    <row r="6" spans="1:6" x14ac:dyDescent="0.2">
      <c r="A6" s="83" t="s">
        <v>661</v>
      </c>
      <c r="B6" s="83">
        <v>7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201.75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B16" sqref="B1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664</v>
      </c>
      <c r="B2" s="83">
        <f>F3/3</f>
        <v>80</v>
      </c>
    </row>
    <row r="3" spans="1:6" x14ac:dyDescent="0.2">
      <c r="A3" s="83" t="s">
        <v>665</v>
      </c>
      <c r="B3" s="83">
        <v>18</v>
      </c>
      <c r="F3" s="136">
        <f>120*2</f>
        <v>240</v>
      </c>
    </row>
    <row r="4" spans="1:6" x14ac:dyDescent="0.2">
      <c r="A4" s="83" t="s">
        <v>666</v>
      </c>
      <c r="B4" s="83">
        <v>64.75</v>
      </c>
      <c r="F4" s="136">
        <v>126</v>
      </c>
    </row>
    <row r="5" spans="1:6" x14ac:dyDescent="0.2">
      <c r="A5" s="83" t="s">
        <v>667</v>
      </c>
      <c r="B5" s="83">
        <f>F4/3</f>
        <v>42</v>
      </c>
    </row>
    <row r="6" spans="1:6" x14ac:dyDescent="0.2">
      <c r="A6" s="83" t="s">
        <v>668</v>
      </c>
      <c r="B6" s="83">
        <f>(95.63-11.4)/4</f>
        <v>21.057499999999997</v>
      </c>
      <c r="C6" s="136" t="s">
        <v>669</v>
      </c>
    </row>
    <row r="7" spans="1:6" x14ac:dyDescent="0.2">
      <c r="A7" s="83" t="s">
        <v>670</v>
      </c>
      <c r="B7" s="83">
        <f>2*15/4</f>
        <v>7.5</v>
      </c>
      <c r="C7" s="136" t="s">
        <v>669</v>
      </c>
    </row>
    <row r="8" spans="1:6" x14ac:dyDescent="0.2">
      <c r="A8" s="83" t="s">
        <v>671</v>
      </c>
      <c r="B8" s="83">
        <f>20/4</f>
        <v>5</v>
      </c>
      <c r="C8" s="136" t="s">
        <v>669</v>
      </c>
    </row>
    <row r="9" spans="1:6" x14ac:dyDescent="0.2">
      <c r="A9" s="83" t="s">
        <v>674</v>
      </c>
      <c r="B9" s="83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18" sqref="A18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96</v>
      </c>
    </row>
    <row r="5" spans="1:6" x14ac:dyDescent="0.2">
      <c r="A5" s="83" t="s">
        <v>659</v>
      </c>
      <c r="B5" s="83"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231.41666666666666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8"/>
  <sheetViews>
    <sheetView workbookViewId="0">
      <selection activeCell="D29" sqref="D29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625</v>
      </c>
      <c r="B2" s="83">
        <v>100</v>
      </c>
    </row>
    <row r="3" spans="1:6" x14ac:dyDescent="0.2">
      <c r="A3" s="83" t="s">
        <v>635</v>
      </c>
      <c r="B3" s="83">
        <f>F4/3</f>
        <v>80</v>
      </c>
    </row>
    <row r="4" spans="1:6" x14ac:dyDescent="0.2">
      <c r="A4" s="83" t="s">
        <v>636</v>
      </c>
      <c r="B4" s="83">
        <v>18</v>
      </c>
      <c r="F4" s="136">
        <f>120*2</f>
        <v>240</v>
      </c>
    </row>
    <row r="5" spans="1:6" x14ac:dyDescent="0.2">
      <c r="A5" s="83" t="s">
        <v>637</v>
      </c>
      <c r="B5" s="83">
        <v>64.75</v>
      </c>
      <c r="F5" s="136">
        <v>96</v>
      </c>
    </row>
    <row r="6" spans="1:6" x14ac:dyDescent="0.2">
      <c r="A6" s="83" t="s">
        <v>638</v>
      </c>
      <c r="B6" s="83">
        <f>F5/3</f>
        <v>32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111" t="s">
        <v>246</v>
      </c>
      <c r="B17" s="111">
        <f>SUM(B2:B16)</f>
        <v>294.75</v>
      </c>
    </row>
    <row r="18" spans="1:2" x14ac:dyDescent="0.2">
      <c r="A18" s="67"/>
      <c r="B18" s="66"/>
    </row>
  </sheetData>
  <pageMargins left="0.7" right="0.7" top="0.75" bottom="0.75" header="0.3" footer="0.3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0"/>
  <sheetViews>
    <sheetView workbookViewId="0">
      <selection activeCell="A8" sqref="A8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615</v>
      </c>
      <c r="B2" s="85">
        <v>100</v>
      </c>
      <c r="E2" s="136">
        <v>90</v>
      </c>
    </row>
    <row r="3" spans="1:7" x14ac:dyDescent="0.2">
      <c r="A3" s="83" t="s">
        <v>624</v>
      </c>
      <c r="B3" s="83">
        <v>-100</v>
      </c>
      <c r="E3" s="136">
        <v>65</v>
      </c>
    </row>
    <row r="4" spans="1:7" x14ac:dyDescent="0.2">
      <c r="A4" s="85" t="s">
        <v>625</v>
      </c>
      <c r="B4" s="85">
        <v>100</v>
      </c>
      <c r="E4" s="136">
        <v>40</v>
      </c>
      <c r="G4" s="136">
        <v>252.4</v>
      </c>
    </row>
    <row r="5" spans="1:7" x14ac:dyDescent="0.2">
      <c r="A5" s="83"/>
      <c r="B5" s="83"/>
      <c r="E5" s="136">
        <v>25</v>
      </c>
      <c r="G5" s="136">
        <v>29</v>
      </c>
    </row>
    <row r="6" spans="1:7" x14ac:dyDescent="0.2">
      <c r="A6" s="83"/>
      <c r="B6" s="83"/>
      <c r="G6" s="136">
        <v>31</v>
      </c>
    </row>
    <row r="7" spans="1:7" x14ac:dyDescent="0.2">
      <c r="A7" s="83"/>
      <c r="B7" s="83"/>
      <c r="E7" s="136">
        <f>SUM(E2:E6)</f>
        <v>220</v>
      </c>
      <c r="G7" s="136">
        <f>SUM(G4:G6)</f>
        <v>312.39999999999998</v>
      </c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</row>
    <row r="12" spans="1:7" x14ac:dyDescent="0.2">
      <c r="A12" s="83"/>
      <c r="B12" s="83"/>
    </row>
    <row r="13" spans="1:7" x14ac:dyDescent="0.2">
      <c r="A13" s="83"/>
      <c r="B13" s="83"/>
    </row>
    <row r="14" spans="1:7" x14ac:dyDescent="0.2">
      <c r="A14" s="83"/>
      <c r="B14" s="83"/>
    </row>
    <row r="15" spans="1:7" x14ac:dyDescent="0.2">
      <c r="A15" s="83"/>
      <c r="B15" s="83"/>
    </row>
    <row r="16" spans="1:7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111" t="s">
        <v>246</v>
      </c>
      <c r="B19" s="111">
        <f>SUM(B2:B18)</f>
        <v>100</v>
      </c>
    </row>
    <row r="20" spans="1:2" x14ac:dyDescent="0.2">
      <c r="A20" s="67"/>
      <c r="B20" s="66"/>
    </row>
  </sheetData>
  <pageMargins left="0.7" right="0.7" top="0.75" bottom="0.75" header="0.3" footer="0.3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6"/>
  <sheetViews>
    <sheetView zoomScaleNormal="100" workbookViewId="0">
      <selection activeCell="B40" sqref="B40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271</v>
      </c>
      <c r="B2" s="85">
        <v>1072.5999999999999</v>
      </c>
      <c r="E2" s="136">
        <v>90</v>
      </c>
    </row>
    <row r="3" spans="1:7" x14ac:dyDescent="0.2">
      <c r="A3" s="83" t="s">
        <v>272</v>
      </c>
      <c r="B3" s="83">
        <v>-400</v>
      </c>
      <c r="E3" s="136">
        <v>65</v>
      </c>
    </row>
    <row r="4" spans="1:7" x14ac:dyDescent="0.2">
      <c r="A4" s="83" t="s">
        <v>362</v>
      </c>
      <c r="B4" s="83">
        <v>166.66666666666666</v>
      </c>
      <c r="E4" s="136">
        <v>40</v>
      </c>
      <c r="G4" s="136">
        <v>252.4</v>
      </c>
    </row>
    <row r="5" spans="1:7" x14ac:dyDescent="0.2">
      <c r="A5" s="83" t="s">
        <v>267</v>
      </c>
      <c r="B5" s="83">
        <v>19.933333333333334</v>
      </c>
      <c r="E5" s="136">
        <v>25</v>
      </c>
      <c r="G5" s="136">
        <v>29</v>
      </c>
    </row>
    <row r="6" spans="1:7" x14ac:dyDescent="0.2">
      <c r="A6" s="83" t="s">
        <v>287</v>
      </c>
      <c r="B6" s="83">
        <v>100</v>
      </c>
      <c r="G6" s="136">
        <v>31</v>
      </c>
    </row>
    <row r="7" spans="1:7" x14ac:dyDescent="0.2">
      <c r="A7" s="83" t="s">
        <v>312</v>
      </c>
      <c r="B7" s="83">
        <v>20</v>
      </c>
      <c r="E7" s="136">
        <f>SUM(E2:E6)</f>
        <v>220</v>
      </c>
      <c r="G7" s="136">
        <f>SUM(G4:G6)</f>
        <v>312.39999999999998</v>
      </c>
    </row>
    <row r="8" spans="1:7" x14ac:dyDescent="0.2">
      <c r="A8" s="83" t="s">
        <v>317</v>
      </c>
      <c r="B8" s="83">
        <v>-450</v>
      </c>
    </row>
    <row r="9" spans="1:7" x14ac:dyDescent="0.2">
      <c r="A9" s="83" t="s">
        <v>359</v>
      </c>
      <c r="B9" s="83">
        <v>95.1</v>
      </c>
    </row>
    <row r="10" spans="1:7" x14ac:dyDescent="0.2">
      <c r="A10" s="83" t="s">
        <v>371</v>
      </c>
      <c r="B10" s="83">
        <v>20</v>
      </c>
    </row>
    <row r="11" spans="1:7" x14ac:dyDescent="0.2">
      <c r="A11" s="83" t="s">
        <v>372</v>
      </c>
      <c r="B11" s="83">
        <v>15</v>
      </c>
    </row>
    <row r="12" spans="1:7" x14ac:dyDescent="0.2">
      <c r="A12" s="83" t="s">
        <v>376</v>
      </c>
      <c r="B12" s="83">
        <v>166.66666666666666</v>
      </c>
    </row>
    <row r="13" spans="1:7" x14ac:dyDescent="0.2">
      <c r="A13" s="83" t="s">
        <v>380</v>
      </c>
      <c r="B13" s="83">
        <v>17</v>
      </c>
    </row>
    <row r="14" spans="1:7" x14ac:dyDescent="0.2">
      <c r="A14" s="83" t="s">
        <v>384</v>
      </c>
      <c r="B14" s="83">
        <v>166.66666666666666</v>
      </c>
    </row>
    <row r="15" spans="1:7" x14ac:dyDescent="0.2">
      <c r="A15" s="83" t="s">
        <v>433</v>
      </c>
      <c r="B15" s="83">
        <v>-200</v>
      </c>
    </row>
    <row r="16" spans="1:7" x14ac:dyDescent="0.2">
      <c r="A16" s="83" t="s">
        <v>439</v>
      </c>
      <c r="B16" s="83">
        <v>38</v>
      </c>
    </row>
    <row r="17" spans="1:3" x14ac:dyDescent="0.2">
      <c r="A17" s="83" t="s">
        <v>468</v>
      </c>
      <c r="B17" s="83">
        <v>-300</v>
      </c>
    </row>
    <row r="18" spans="1:3" x14ac:dyDescent="0.2">
      <c r="A18" s="83" t="s">
        <v>513</v>
      </c>
      <c r="B18" s="83">
        <v>56.5</v>
      </c>
    </row>
    <row r="19" spans="1:3" x14ac:dyDescent="0.2">
      <c r="A19" s="83" t="s">
        <v>514</v>
      </c>
      <c r="B19" s="83">
        <v>22</v>
      </c>
    </row>
    <row r="20" spans="1:3" x14ac:dyDescent="0.2">
      <c r="A20" s="83" t="s">
        <v>515</v>
      </c>
      <c r="B20" s="83">
        <v>50</v>
      </c>
    </row>
    <row r="21" spans="1:3" x14ac:dyDescent="0.2">
      <c r="A21" s="83" t="s">
        <v>518</v>
      </c>
      <c r="B21" s="83">
        <v>-500</v>
      </c>
    </row>
    <row r="22" spans="1:3" x14ac:dyDescent="0.2">
      <c r="A22" s="83" t="s">
        <v>540</v>
      </c>
      <c r="B22" s="83">
        <v>22</v>
      </c>
    </row>
    <row r="23" spans="1:3" x14ac:dyDescent="0.2">
      <c r="A23" s="83" t="s">
        <v>539</v>
      </c>
      <c r="B23" s="83">
        <v>22</v>
      </c>
    </row>
    <row r="24" spans="1:3" x14ac:dyDescent="0.2">
      <c r="A24" s="83" t="s">
        <v>541</v>
      </c>
      <c r="B24" s="83">
        <v>10</v>
      </c>
    </row>
    <row r="25" spans="1:3" x14ac:dyDescent="0.2">
      <c r="A25" s="83" t="s">
        <v>549</v>
      </c>
      <c r="B25" s="83">
        <v>22</v>
      </c>
    </row>
    <row r="26" spans="1:3" x14ac:dyDescent="0.2">
      <c r="A26" s="83" t="s">
        <v>554</v>
      </c>
      <c r="B26" s="83">
        <v>-200</v>
      </c>
    </row>
    <row r="27" spans="1:3" x14ac:dyDescent="0.2">
      <c r="A27" s="83" t="s">
        <v>566</v>
      </c>
      <c r="B27" s="83">
        <v>20.5</v>
      </c>
    </row>
    <row r="28" spans="1:3" x14ac:dyDescent="0.2">
      <c r="A28" s="83" t="s">
        <v>567</v>
      </c>
      <c r="B28" s="83">
        <f>24/3</f>
        <v>8</v>
      </c>
    </row>
    <row r="29" spans="1:3" x14ac:dyDescent="0.2">
      <c r="A29" s="83" t="s">
        <v>568</v>
      </c>
      <c r="B29" s="83">
        <v>18.5</v>
      </c>
    </row>
    <row r="30" spans="1:3" x14ac:dyDescent="0.2">
      <c r="A30" s="83" t="s">
        <v>569</v>
      </c>
      <c r="B30" s="83">
        <f>18.5/3</f>
        <v>6.166666666666667</v>
      </c>
    </row>
    <row r="31" spans="1:3" x14ac:dyDescent="0.2">
      <c r="A31" s="83" t="s">
        <v>592</v>
      </c>
      <c r="B31" s="83">
        <f>(90)/3</f>
        <v>30</v>
      </c>
      <c r="C31" s="67"/>
    </row>
    <row r="32" spans="1:3" x14ac:dyDescent="0.2">
      <c r="A32" s="83" t="s">
        <v>589</v>
      </c>
      <c r="B32" s="83">
        <f>25/3</f>
        <v>8.3333333333333339</v>
      </c>
      <c r="C32" s="67"/>
    </row>
    <row r="33" spans="1:3" x14ac:dyDescent="0.2">
      <c r="A33" s="83" t="s">
        <v>593</v>
      </c>
      <c r="B33" s="83">
        <f>65/3</f>
        <v>21.666666666666668</v>
      </c>
      <c r="C33" s="67"/>
    </row>
    <row r="34" spans="1:3" x14ac:dyDescent="0.2">
      <c r="A34" s="83" t="s">
        <v>594</v>
      </c>
      <c r="B34" s="83">
        <f>118/2</f>
        <v>59</v>
      </c>
      <c r="C34" s="67"/>
    </row>
    <row r="35" spans="1:3" x14ac:dyDescent="0.2">
      <c r="A35" s="83" t="s">
        <v>580</v>
      </c>
      <c r="B35" s="83">
        <v>50</v>
      </c>
    </row>
    <row r="36" spans="1:3" x14ac:dyDescent="0.2">
      <c r="A36" s="83" t="s">
        <v>581</v>
      </c>
      <c r="B36" s="83">
        <v>-100</v>
      </c>
    </row>
    <row r="37" spans="1:3" x14ac:dyDescent="0.2">
      <c r="A37" s="83" t="s">
        <v>595</v>
      </c>
      <c r="B37" s="83">
        <f>40/3</f>
        <v>13.333333333333334</v>
      </c>
    </row>
    <row r="38" spans="1:3" x14ac:dyDescent="0.2">
      <c r="A38" s="83" t="s">
        <v>596</v>
      </c>
      <c r="B38" s="83">
        <v>63.5</v>
      </c>
    </row>
    <row r="39" spans="1:3" x14ac:dyDescent="0.2">
      <c r="A39" s="83" t="s">
        <v>599</v>
      </c>
      <c r="B39" s="83">
        <v>29</v>
      </c>
    </row>
    <row r="40" spans="1:3" x14ac:dyDescent="0.2">
      <c r="A40" s="83" t="s">
        <v>600</v>
      </c>
      <c r="B40" s="83">
        <f>93/3</f>
        <v>31</v>
      </c>
    </row>
    <row r="41" spans="1:3" x14ac:dyDescent="0.2">
      <c r="A41" s="83" t="s">
        <v>598</v>
      </c>
      <c r="B41" s="83">
        <v>-312.39999999999998</v>
      </c>
    </row>
    <row r="42" spans="1:3" x14ac:dyDescent="0.2">
      <c r="A42" s="83"/>
      <c r="B42" s="83"/>
    </row>
    <row r="43" spans="1:3" x14ac:dyDescent="0.2">
      <c r="A43" s="83"/>
      <c r="B43" s="83"/>
    </row>
    <row r="44" spans="1:3" x14ac:dyDescent="0.2">
      <c r="A44" s="83"/>
      <c r="B44" s="83"/>
    </row>
    <row r="45" spans="1:3" x14ac:dyDescent="0.2">
      <c r="A45" s="111" t="s">
        <v>246</v>
      </c>
      <c r="B45" s="111">
        <v>0</v>
      </c>
    </row>
    <row r="46" spans="1:3" x14ac:dyDescent="0.2">
      <c r="A46" s="67"/>
      <c r="B46" s="66"/>
    </row>
  </sheetData>
  <pageMargins left="0.7" right="0.7" top="0.75" bottom="0.75" header="0.3" footer="0.3"/>
  <pageSetup paperSize="9" orientation="portrait"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4"/>
  <sheetViews>
    <sheetView zoomScaleNormal="100" workbookViewId="0">
      <selection activeCell="B9" sqref="B9"/>
    </sheetView>
  </sheetViews>
  <sheetFormatPr baseColWidth="10" defaultRowHeight="11.25" x14ac:dyDescent="0.2"/>
  <cols>
    <col min="1" max="1" width="60.85546875" style="136" customWidth="1"/>
    <col min="2" max="16384" width="11.42578125" style="136"/>
  </cols>
  <sheetData>
    <row r="1" spans="1:6" x14ac:dyDescent="0.2">
      <c r="A1" s="137" t="s">
        <v>570</v>
      </c>
      <c r="B1" s="138"/>
    </row>
    <row r="2" spans="1:6" x14ac:dyDescent="0.2">
      <c r="A2" s="83" t="s">
        <v>566</v>
      </c>
      <c r="B2" s="83">
        <v>19.899999999999999</v>
      </c>
    </row>
    <row r="3" spans="1:6" x14ac:dyDescent="0.2">
      <c r="A3" s="83" t="s">
        <v>567</v>
      </c>
      <c r="B3" s="83">
        <f>24/3</f>
        <v>8</v>
      </c>
    </row>
    <row r="4" spans="1:6" x14ac:dyDescent="0.2">
      <c r="A4" s="83" t="s">
        <v>568</v>
      </c>
      <c r="B4" s="83">
        <v>18.5</v>
      </c>
    </row>
    <row r="5" spans="1:6" x14ac:dyDescent="0.2">
      <c r="A5" s="83" t="s">
        <v>569</v>
      </c>
      <c r="B5" s="83">
        <f>18.5/3</f>
        <v>6.166666666666667</v>
      </c>
    </row>
    <row r="6" spans="1:6" x14ac:dyDescent="0.2">
      <c r="A6" s="83" t="s">
        <v>592</v>
      </c>
      <c r="B6" s="83">
        <f>(90)/3</f>
        <v>30</v>
      </c>
    </row>
    <row r="7" spans="1:6" x14ac:dyDescent="0.2">
      <c r="A7" s="83" t="s">
        <v>589</v>
      </c>
      <c r="B7" s="83">
        <f>25/3</f>
        <v>8.3333333333333339</v>
      </c>
    </row>
    <row r="8" spans="1:6" x14ac:dyDescent="0.2">
      <c r="A8" s="83" t="s">
        <v>593</v>
      </c>
      <c r="B8" s="83">
        <f>65/3</f>
        <v>21.666666666666668</v>
      </c>
    </row>
    <row r="9" spans="1:6" x14ac:dyDescent="0.2">
      <c r="A9" s="83" t="s">
        <v>590</v>
      </c>
      <c r="B9" s="83">
        <f>-50</f>
        <v>-50</v>
      </c>
    </row>
    <row r="10" spans="1:6" x14ac:dyDescent="0.2">
      <c r="A10" s="83" t="s">
        <v>595</v>
      </c>
      <c r="B10" s="83">
        <f>40/3</f>
        <v>13.333333333333334</v>
      </c>
      <c r="F10" s="136">
        <f>63.5*3</f>
        <v>190.5</v>
      </c>
    </row>
    <row r="11" spans="1:6" x14ac:dyDescent="0.2">
      <c r="A11" s="83" t="s">
        <v>596</v>
      </c>
      <c r="B11" s="83">
        <v>63.5</v>
      </c>
      <c r="F11" s="136">
        <f>63.5*4</f>
        <v>254</v>
      </c>
    </row>
    <row r="12" spans="1:6" x14ac:dyDescent="0.2">
      <c r="A12" s="83" t="s">
        <v>598</v>
      </c>
      <c r="B12" s="83">
        <v>-140.65</v>
      </c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83"/>
      <c r="B19" s="83"/>
    </row>
    <row r="20" spans="1:2" x14ac:dyDescent="0.2">
      <c r="A20" s="83"/>
      <c r="B20" s="83"/>
    </row>
    <row r="21" spans="1:2" x14ac:dyDescent="0.2">
      <c r="A21" s="83"/>
      <c r="B21" s="83"/>
    </row>
    <row r="22" spans="1:2" x14ac:dyDescent="0.2">
      <c r="A22" s="83"/>
      <c r="B22" s="83"/>
    </row>
    <row r="23" spans="1:2" x14ac:dyDescent="0.2">
      <c r="A23" s="83"/>
      <c r="B23" s="83"/>
    </row>
    <row r="24" spans="1:2" x14ac:dyDescent="0.2">
      <c r="A24" s="83"/>
      <c r="B24" s="83"/>
    </row>
    <row r="25" spans="1:2" x14ac:dyDescent="0.2">
      <c r="A25" s="83"/>
      <c r="B25" s="83"/>
    </row>
    <row r="26" spans="1:2" x14ac:dyDescent="0.2">
      <c r="A26" s="83"/>
      <c r="B26" s="83"/>
    </row>
    <row r="27" spans="1:2" x14ac:dyDescent="0.2">
      <c r="A27" s="195"/>
      <c r="B27" s="195"/>
    </row>
    <row r="28" spans="1:2" x14ac:dyDescent="0.2">
      <c r="A28" s="195"/>
      <c r="B28" s="195"/>
    </row>
    <row r="29" spans="1:2" x14ac:dyDescent="0.2">
      <c r="A29" s="195"/>
      <c r="B29" s="195"/>
    </row>
    <row r="30" spans="1:2" x14ac:dyDescent="0.2">
      <c r="A30" s="195"/>
      <c r="B30" s="195"/>
    </row>
    <row r="31" spans="1:2" x14ac:dyDescent="0.2">
      <c r="A31" s="83"/>
      <c r="B31" s="83"/>
    </row>
    <row r="32" spans="1:2" x14ac:dyDescent="0.2">
      <c r="A32" s="83"/>
      <c r="B32" s="83"/>
    </row>
    <row r="33" spans="1:2" x14ac:dyDescent="0.2">
      <c r="A33" s="111" t="s">
        <v>246</v>
      </c>
      <c r="B33" s="111">
        <f>SUM(B2:B32)</f>
        <v>-1.2500000000000284</v>
      </c>
    </row>
    <row r="34" spans="1:2" x14ac:dyDescent="0.2">
      <c r="A34" s="67"/>
      <c r="B34" s="66"/>
    </row>
  </sheetData>
  <pageMargins left="0.7" right="0.7" top="0.75" bottom="0.75" header="0.3" footer="0.3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3"/>
  <sheetViews>
    <sheetView workbookViewId="0">
      <selection activeCell="D13" sqref="D13"/>
    </sheetView>
  </sheetViews>
  <sheetFormatPr baseColWidth="10" defaultRowHeight="15" x14ac:dyDescent="0.25"/>
  <cols>
    <col min="1" max="1" width="4.42578125" customWidth="1"/>
    <col min="2" max="2" width="13.42578125" customWidth="1"/>
    <col min="5" max="5" width="13.5703125" bestFit="1" customWidth="1"/>
  </cols>
  <sheetData>
    <row r="2" spans="1:5" x14ac:dyDescent="0.25">
      <c r="A2" s="139" t="s">
        <v>434</v>
      </c>
      <c r="B2" s="140"/>
      <c r="C2" s="140"/>
      <c r="D2" s="140"/>
      <c r="E2" s="140"/>
    </row>
    <row r="3" spans="1:5" x14ac:dyDescent="0.25">
      <c r="A3" s="141" t="s">
        <v>435</v>
      </c>
      <c r="B3" s="139" t="s">
        <v>436</v>
      </c>
      <c r="C3" s="139" t="s">
        <v>277</v>
      </c>
      <c r="D3" s="139" t="s">
        <v>437</v>
      </c>
      <c r="E3" s="181" t="s">
        <v>516</v>
      </c>
    </row>
    <row r="4" spans="1:5" x14ac:dyDescent="0.25">
      <c r="A4" s="140">
        <v>1</v>
      </c>
      <c r="B4" s="142">
        <v>42124</v>
      </c>
      <c r="C4" s="140">
        <v>22</v>
      </c>
      <c r="D4" s="140" t="s">
        <v>438</v>
      </c>
      <c r="E4" s="142">
        <v>42186</v>
      </c>
    </row>
    <row r="5" spans="1:5" x14ac:dyDescent="0.25">
      <c r="A5" s="140">
        <v>2</v>
      </c>
      <c r="B5" s="142">
        <v>42155</v>
      </c>
      <c r="C5" s="140">
        <v>22</v>
      </c>
      <c r="D5" s="140" t="s">
        <v>438</v>
      </c>
      <c r="E5" s="142">
        <v>42217</v>
      </c>
    </row>
    <row r="6" spans="1:5" x14ac:dyDescent="0.25">
      <c r="A6" s="140">
        <v>3</v>
      </c>
      <c r="B6" s="142">
        <v>42185</v>
      </c>
      <c r="C6" s="140">
        <v>22</v>
      </c>
      <c r="D6" s="140" t="s">
        <v>438</v>
      </c>
      <c r="E6" s="142">
        <v>42248</v>
      </c>
    </row>
    <row r="7" spans="1:5" x14ac:dyDescent="0.25">
      <c r="A7" s="140">
        <v>4</v>
      </c>
      <c r="B7" s="142">
        <v>42216</v>
      </c>
      <c r="C7" s="140">
        <v>22</v>
      </c>
      <c r="D7" s="140" t="s">
        <v>438</v>
      </c>
      <c r="E7" s="142">
        <v>42278</v>
      </c>
    </row>
    <row r="8" spans="1:5" x14ac:dyDescent="0.25">
      <c r="A8" s="140">
        <v>5</v>
      </c>
      <c r="B8" s="142">
        <v>42247</v>
      </c>
      <c r="C8" s="140">
        <v>22</v>
      </c>
      <c r="D8" s="140" t="s">
        <v>438</v>
      </c>
      <c r="E8" s="142">
        <v>42280</v>
      </c>
    </row>
    <row r="9" spans="1:5" x14ac:dyDescent="0.25">
      <c r="A9" s="140">
        <v>6</v>
      </c>
      <c r="B9" s="142">
        <v>42277</v>
      </c>
      <c r="C9" s="140">
        <v>22</v>
      </c>
      <c r="D9" s="140" t="s">
        <v>438</v>
      </c>
      <c r="E9" s="142">
        <v>42277</v>
      </c>
    </row>
    <row r="10" spans="1:5" x14ac:dyDescent="0.25">
      <c r="A10" s="140">
        <v>7</v>
      </c>
      <c r="B10" s="142">
        <v>42308</v>
      </c>
      <c r="C10" s="140">
        <v>22</v>
      </c>
      <c r="D10" s="140" t="s">
        <v>438</v>
      </c>
      <c r="E10" s="142">
        <v>42308</v>
      </c>
    </row>
    <row r="11" spans="1:5" x14ac:dyDescent="0.25">
      <c r="A11" s="140">
        <v>8</v>
      </c>
      <c r="B11" s="142">
        <v>42338</v>
      </c>
      <c r="C11" s="140">
        <v>22</v>
      </c>
      <c r="D11" s="140" t="s">
        <v>438</v>
      </c>
      <c r="E11" s="142">
        <v>42338</v>
      </c>
    </row>
    <row r="13" spans="1:5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"/>
  <sheetViews>
    <sheetView workbookViewId="0">
      <selection activeCell="D13" sqref="D13"/>
    </sheetView>
  </sheetViews>
  <sheetFormatPr baseColWidth="10" defaultRowHeight="15" x14ac:dyDescent="0.25"/>
  <cols>
    <col min="1" max="1" width="4.42578125" customWidth="1"/>
    <col min="2" max="2" width="13.42578125" customWidth="1"/>
  </cols>
  <sheetData>
    <row r="2" spans="1:4" x14ac:dyDescent="0.25">
      <c r="A2" s="139" t="s">
        <v>434</v>
      </c>
      <c r="B2" s="140"/>
      <c r="C2" s="140"/>
      <c r="D2" s="140"/>
    </row>
    <row r="3" spans="1:4" x14ac:dyDescent="0.25">
      <c r="A3" s="141" t="s">
        <v>435</v>
      </c>
      <c r="B3" s="139" t="s">
        <v>436</v>
      </c>
      <c r="C3" s="139" t="s">
        <v>277</v>
      </c>
      <c r="D3" s="139" t="s">
        <v>437</v>
      </c>
    </row>
    <row r="4" spans="1:4" x14ac:dyDescent="0.25">
      <c r="A4" s="140">
        <v>1</v>
      </c>
      <c r="B4" s="142">
        <v>42124</v>
      </c>
      <c r="C4" s="140">
        <v>22</v>
      </c>
      <c r="D4" s="140" t="s">
        <v>438</v>
      </c>
    </row>
    <row r="5" spans="1:4" x14ac:dyDescent="0.25">
      <c r="A5" s="140">
        <v>2</v>
      </c>
      <c r="B5" s="142">
        <v>42155</v>
      </c>
      <c r="C5" s="140">
        <v>22</v>
      </c>
      <c r="D5" s="140" t="s">
        <v>438</v>
      </c>
    </row>
    <row r="6" spans="1:4" x14ac:dyDescent="0.25">
      <c r="A6" s="140">
        <v>3</v>
      </c>
      <c r="B6" s="142">
        <v>42185</v>
      </c>
      <c r="C6" s="140">
        <v>22</v>
      </c>
      <c r="D6" s="140" t="s">
        <v>438</v>
      </c>
    </row>
    <row r="7" spans="1:4" x14ac:dyDescent="0.25">
      <c r="A7" s="140">
        <v>4</v>
      </c>
      <c r="B7" s="142">
        <v>42216</v>
      </c>
      <c r="C7" s="140">
        <v>22</v>
      </c>
      <c r="D7" s="140" t="s">
        <v>438</v>
      </c>
    </row>
    <row r="8" spans="1:4" x14ac:dyDescent="0.25">
      <c r="A8" s="140">
        <v>5</v>
      </c>
      <c r="B8" s="142">
        <v>42247</v>
      </c>
      <c r="C8" s="140">
        <v>22</v>
      </c>
      <c r="D8" s="140" t="s">
        <v>438</v>
      </c>
    </row>
    <row r="9" spans="1:4" x14ac:dyDescent="0.25">
      <c r="A9" s="140">
        <v>6</v>
      </c>
      <c r="B9" s="142">
        <v>42277</v>
      </c>
      <c r="C9" s="140">
        <v>22</v>
      </c>
      <c r="D9" s="140" t="s">
        <v>438</v>
      </c>
    </row>
    <row r="10" spans="1:4" x14ac:dyDescent="0.25">
      <c r="A10" s="140">
        <v>7</v>
      </c>
      <c r="B10" s="142">
        <v>42308</v>
      </c>
      <c r="C10" s="140">
        <v>22</v>
      </c>
      <c r="D10" s="140" t="s">
        <v>438</v>
      </c>
    </row>
    <row r="11" spans="1:4" x14ac:dyDescent="0.25">
      <c r="A11" s="140">
        <v>8</v>
      </c>
      <c r="B11" s="142">
        <v>42338</v>
      </c>
      <c r="C11" s="140">
        <v>22</v>
      </c>
      <c r="D11" s="140" t="s">
        <v>438</v>
      </c>
    </row>
    <row r="13" spans="1:4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6"/>
  <sheetViews>
    <sheetView workbookViewId="0">
      <selection activeCell="E9" sqref="E9"/>
    </sheetView>
  </sheetViews>
  <sheetFormatPr baseColWidth="10" defaultRowHeight="15" x14ac:dyDescent="0.25"/>
  <cols>
    <col min="2" max="2" width="60.28515625" bestFit="1" customWidth="1"/>
    <col min="3" max="3" width="13.140625" customWidth="1"/>
  </cols>
  <sheetData>
    <row r="3" spans="2:5" x14ac:dyDescent="0.25">
      <c r="B3" t="s">
        <v>421</v>
      </c>
      <c r="C3">
        <v>450</v>
      </c>
    </row>
    <row r="4" spans="2:5" x14ac:dyDescent="0.25">
      <c r="B4" t="s">
        <v>422</v>
      </c>
      <c r="C4">
        <v>80</v>
      </c>
    </row>
    <row r="6" spans="2:5" x14ac:dyDescent="0.25">
      <c r="B6" t="s">
        <v>233</v>
      </c>
      <c r="C6" s="3">
        <f>SUM(C3:C5)</f>
        <v>530</v>
      </c>
      <c r="D6" s="3">
        <f>C6/8</f>
        <v>66.25</v>
      </c>
      <c r="E6" s="3">
        <f>D6/3</f>
        <v>22.083333333333332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118</vt:i4>
      </vt:variant>
    </vt:vector>
  </HeadingPairs>
  <TitlesOfParts>
    <vt:vector size="118" baseType="lpstr">
      <vt:lpstr>Hoja1</vt:lpstr>
      <vt:lpstr>Hoja2</vt:lpstr>
      <vt:lpstr>Sheet4</vt:lpstr>
      <vt:lpstr>Sheet5</vt:lpstr>
      <vt:lpstr>Hoja3</vt:lpstr>
      <vt:lpstr>Febrero</vt:lpstr>
      <vt:lpstr>Marzo</vt:lpstr>
      <vt:lpstr>Abril</vt:lpstr>
      <vt:lpstr>Mayo</vt:lpstr>
      <vt:lpstr>Junio</vt:lpstr>
      <vt:lpstr>Julio</vt:lpstr>
      <vt:lpstr>Agosto</vt:lpstr>
      <vt:lpstr>Setiembre</vt:lpstr>
      <vt:lpstr>Octubre</vt:lpstr>
      <vt:lpstr>Noviembre</vt:lpstr>
      <vt:lpstr>Diciembre</vt:lpstr>
      <vt:lpstr>Enero</vt:lpstr>
      <vt:lpstr>2012-Febrero</vt:lpstr>
      <vt:lpstr>2012-Marzo</vt:lpstr>
      <vt:lpstr>2012-Abril</vt:lpstr>
      <vt:lpstr>2012-Mayo</vt:lpstr>
      <vt:lpstr>2012-Junio</vt:lpstr>
      <vt:lpstr>2012-Julio</vt:lpstr>
      <vt:lpstr>2012-Agosto</vt:lpstr>
      <vt:lpstr>2012-Setiembre</vt:lpstr>
      <vt:lpstr>pagodelbcb</vt:lpstr>
      <vt:lpstr>2012-octubre</vt:lpstr>
      <vt:lpstr>2012-Noviembre</vt:lpstr>
      <vt:lpstr>2012-Diciembre</vt:lpstr>
      <vt:lpstr>2013-Enero</vt:lpstr>
      <vt:lpstr>2013-Febrero</vt:lpstr>
      <vt:lpstr>2013-Marzo</vt:lpstr>
      <vt:lpstr>2013-abril</vt:lpstr>
      <vt:lpstr>2013-mayo</vt:lpstr>
      <vt:lpstr>2013-junio</vt:lpstr>
      <vt:lpstr>2013-julio</vt:lpstr>
      <vt:lpstr>2013-agosto</vt:lpstr>
      <vt:lpstr>2013-setiembre</vt:lpstr>
      <vt:lpstr>2013-OCTUBRE</vt:lpstr>
      <vt:lpstr>2013-NOVIEMBRE</vt:lpstr>
      <vt:lpstr>2013-DICIEMBRE</vt:lpstr>
      <vt:lpstr>2014-ENERO</vt:lpstr>
      <vt:lpstr>2014-FEBRERO</vt:lpstr>
      <vt:lpstr>2014-MARZO</vt:lpstr>
      <vt:lpstr>2014-ABRIL</vt:lpstr>
      <vt:lpstr>2014-MAYO</vt:lpstr>
      <vt:lpstr>2014-JUNIO</vt:lpstr>
      <vt:lpstr>2014-JULIO</vt:lpstr>
      <vt:lpstr>2014-AGOSTO</vt:lpstr>
      <vt:lpstr>2014-SETIEMBRE</vt:lpstr>
      <vt:lpstr>2014-OCTUBRE</vt:lpstr>
      <vt:lpstr>2014-NOVIEMBRE</vt:lpstr>
      <vt:lpstr>2014-DICIEMBRE</vt:lpstr>
      <vt:lpstr>2015-ENERO</vt:lpstr>
      <vt:lpstr>2015-FEBRERO</vt:lpstr>
      <vt:lpstr>2015-MARZO</vt:lpstr>
      <vt:lpstr>2015-ABRIL</vt:lpstr>
      <vt:lpstr>2015-MAYO</vt:lpstr>
      <vt:lpstr>2015-JUNIO</vt:lpstr>
      <vt:lpstr>2015-JULIO</vt:lpstr>
      <vt:lpstr>2015-AGOSTO</vt:lpstr>
      <vt:lpstr>2015-SETIEMBRE</vt:lpstr>
      <vt:lpstr>2015-OCTUBRE</vt:lpstr>
      <vt:lpstr>2015-NOVIEMBRE</vt:lpstr>
      <vt:lpstr>2015-DICIEMBRE</vt:lpstr>
      <vt:lpstr>2016-ENERO</vt:lpstr>
      <vt:lpstr>2016-FEBRERO</vt:lpstr>
      <vt:lpstr>2016-MARZO</vt:lpstr>
      <vt:lpstr>2016-ABRIL</vt:lpstr>
      <vt:lpstr>2016-MAYO</vt:lpstr>
      <vt:lpstr>2016-JUNIO</vt:lpstr>
      <vt:lpstr>2016-JULIO</vt:lpstr>
      <vt:lpstr>2016-AGOSTO</vt:lpstr>
      <vt:lpstr>2016-SETIEMBRE</vt:lpstr>
      <vt:lpstr>Hoja28</vt:lpstr>
      <vt:lpstr>Hoja25</vt:lpstr>
      <vt:lpstr>Hoja26</vt:lpstr>
      <vt:lpstr>Hoja27</vt:lpstr>
      <vt:lpstr>Viaje decameron punta sal</vt:lpstr>
      <vt:lpstr>Hoja24</vt:lpstr>
      <vt:lpstr>GASTOS MENSUALES DE HECTOR</vt:lpstr>
      <vt:lpstr>Paseo SRQV20151010</vt:lpstr>
      <vt:lpstr>Saneamiento chacracerro</vt:lpstr>
      <vt:lpstr>Misa de mama 2 anios</vt:lpstr>
      <vt:lpstr>Cumple 70 AÑOS DE PAPA</vt:lpstr>
      <vt:lpstr>Prestamos de Papa para el ingle</vt:lpstr>
      <vt:lpstr>Deuda Charo 2016-Junio</vt:lpstr>
      <vt:lpstr>Deuda Charo 2016-Mayo</vt:lpstr>
      <vt:lpstr>Deuda Charo 2016-Abril</vt:lpstr>
      <vt:lpstr>Deuda Charo 2016-Marzo</vt:lpstr>
      <vt:lpstr>Deuda de carlos 2016-mayo</vt:lpstr>
      <vt:lpstr>Deuda de carlos 2016-abril</vt:lpstr>
      <vt:lpstr>Deuda de carlos 2016-Marzo</vt:lpstr>
      <vt:lpstr>Deuda de carlos2</vt:lpstr>
      <vt:lpstr>Deuda de carlos</vt:lpstr>
      <vt:lpstr>Deuda de Charito</vt:lpstr>
      <vt:lpstr>Deuda de sanitario sala Carlos</vt:lpstr>
      <vt:lpstr>Deuda de sanitario sala Charo</vt:lpstr>
      <vt:lpstr>Hoja22</vt:lpstr>
      <vt:lpstr>Hoja21</vt:lpstr>
      <vt:lpstr>Hoja20</vt:lpstr>
      <vt:lpstr>Hoja19</vt:lpstr>
      <vt:lpstr>Hoja18</vt:lpstr>
      <vt:lpstr>Hoja14</vt:lpstr>
      <vt:lpstr>Hoja17</vt:lpstr>
      <vt:lpstr>Hoja16</vt:lpstr>
      <vt:lpstr>Hoja15</vt:lpstr>
      <vt:lpstr>Hoja13</vt:lpstr>
      <vt:lpstr>Hoja12</vt:lpstr>
      <vt:lpstr>Hoja11</vt:lpstr>
      <vt:lpstr>Hoja10</vt:lpstr>
      <vt:lpstr>Hoja9</vt:lpstr>
      <vt:lpstr>Hoja8</vt:lpstr>
      <vt:lpstr>Hoja7</vt:lpstr>
      <vt:lpstr>Hoja</vt:lpstr>
      <vt:lpstr>Hoja6</vt:lpstr>
      <vt:lpstr>Hoja4</vt:lpstr>
      <vt:lpstr>Hoja5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2006-09-12T12:46:56Z</dcterms:created>
  <dcterms:modified xsi:type="dcterms:W3CDTF">2016-07-20T14:55:36Z</dcterms:modified>
</cp:coreProperties>
</file>